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lisadecorp-my.sharepoint.com/personal/shatch_palisade_com/Documents/Desktop/"/>
    </mc:Choice>
  </mc:AlternateContent>
  <xr:revisionPtr revIDLastSave="0" documentId="8_{C5C2A928-AA79-41CF-92B4-3A22B3DB53AC}" xr6:coauthVersionLast="46" xr6:coauthVersionMax="46" xr10:uidLastSave="{00000000-0000-0000-0000-000000000000}"/>
  <bookViews>
    <workbookView xWindow="1520" yWindow="1520" windowWidth="14400" windowHeight="7360" activeTab="5" xr2:uid="{00000000-000D-0000-FFFF-FFFF00000000}"/>
  </bookViews>
  <sheets>
    <sheet name="ProjectData" sheetId="79" r:id="rId1"/>
    <sheet name="MarketData" sheetId="3" r:id="rId2"/>
    <sheet name="goalSeekInfo" sheetId="67" state="hidden" r:id="rId3"/>
    <sheet name="Time Series Fit Summary" sheetId="74" r:id="rId4"/>
    <sheet name="RiskSerializationData8" sheetId="86" state="hidden" r:id="rId5"/>
    <sheet name="Cash Flow Risk" sheetId="1" r:id="rId6"/>
  </sheets>
  <definedNames>
    <definedName name="_AtRisk_FitDataRange_FIT_2698B_71E86" hidden="1">ProjectData!$B$2:$B$151</definedName>
    <definedName name="_AtRisk_FitDataRange_FIT_3674F_93F47" hidden="1">ProjectData!$C$2:$C$151</definedName>
    <definedName name="_AtRisk_FitDataRange_FIT_38631_E089D" hidden="1">ProjectData!$B$2:$B$51</definedName>
    <definedName name="_AtRisk_FitDataRange_FIT_3A878_5AAD3" hidden="1">ProjectData!$E$2:$E$101</definedName>
    <definedName name="_AtRisk_FitDataRange_FIT_6F8B6_6C98E" hidden="1">ProjectData!$E$2:$E$151</definedName>
    <definedName name="_AtRisk_FitDataRange_FIT_9541B_11207" hidden="1">ProjectData!$D$2:$D$151</definedName>
    <definedName name="_AtRisk_FitDataRange_FIT_A0971_29ED3" hidden="1">ProjectData!$B$2:$B$21</definedName>
    <definedName name="_AtRisk_FitDataRange_FIT_B0CA4_170A1" hidden="1">ProjectData!$B:$E</definedName>
    <definedName name="_AtRisk_FitDataRange_FIT_B50F2_9C5A7" hidden="1">ProjectData!$B$2:$B$101</definedName>
    <definedName name="_AtRisk_FitDataRange_FIT_D4228_9B5D5" hidden="1">ProjectData!$C$2:$C$101</definedName>
    <definedName name="_AtRisk_FitDataRange_FIT_D554_10E75" hidden="1">ProjectData!$B$2:$B$151</definedName>
    <definedName name="_AtRisk_FitDataRange_FIT_E3763_65EEE" hidden="1">ProjectData!$D$2:$D$101</definedName>
    <definedName name="_AtRisk_FitDataRange_FIT_F12F3_B76E7" hidden="1">ProjectData!$B$2:$B$31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BrowseRecords" localSheetId="4">RiskSerializationData8!$6:$11</definedName>
    <definedName name="Pal_Workbook_GUID" hidden="1">"2ZCV84VN7EFTSA14ET1ET17A"</definedName>
    <definedName name="PalisadeReportWorksheetCreatedBy" localSheetId="3" hidden="1">"@RISK"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GoalSeekChangingCell">'Cash Flow Risk'!$C$30</definedName>
    <definedName name="RiskHasSettings" hidden="1">8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imulationResultsStorageLocation" hidden="1">"2"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FALSE</definedName>
    <definedName name="SerializationHeader" localSheetId="4">RiskSerializationData8!$A$1:$B$3</definedName>
    <definedName name="STWBD_StatToolsScatterplot_DisplayCorrelationCoefficient" hidden="1">"TRUE"</definedName>
    <definedName name="STWBD_StatToolsScatterplot_HasDefaultInfo" hidden="1">"TRUE"</definedName>
    <definedName name="STWBD_StatToolsScatterplot_VarSelectorDefaultDataSet" hidden="1">"DG112DE1EF"</definedName>
    <definedName name="STWBD_StatToolsScatterplot_XVariableList" hidden="1">2</definedName>
    <definedName name="STWBD_StatToolsScatterplot_XVariableList_1" hidden="1">"U_x0001_VG2D57BF831D729B26_x0001_"</definedName>
    <definedName name="STWBD_StatToolsScatterplot_XVariableList_2" hidden="1">"U_x0001_VG1E330A271EE8C447_x0001_"</definedName>
    <definedName name="STWBD_StatToolsScatterplot_YVariableList" hidden="1">1</definedName>
    <definedName name="STWBD_StatToolsScatterplot_YVariableList_1" hidden="1">"U_x0001_VGFC9F36D570F001_x0001_"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86" l="1"/>
  <c r="A11" i="86"/>
  <c r="P10" i="86"/>
  <c r="L10" i="86"/>
  <c r="A10" i="86"/>
  <c r="L9" i="86"/>
  <c r="A9" i="86"/>
  <c r="L8" i="86"/>
  <c r="A8" i="86"/>
  <c r="L7" i="86"/>
  <c r="A7" i="86"/>
  <c r="L6" i="86"/>
  <c r="A6" i="86"/>
  <c r="A2" i="67"/>
  <c r="I22" i="3"/>
  <c r="H22" i="3"/>
  <c r="I21" i="3"/>
  <c r="H21" i="3"/>
  <c r="G21" i="3"/>
  <c r="G22" i="3"/>
  <c r="D38" i="1"/>
  <c r="E38" i="1" s="1"/>
  <c r="F38" i="1" s="1"/>
  <c r="G38" i="1" s="1"/>
  <c r="H38" i="1" s="1"/>
  <c r="I38" i="1" s="1"/>
  <c r="J38" i="1" s="1"/>
  <c r="K38" i="1" s="1"/>
  <c r="L38" i="1" s="1"/>
  <c r="M38" i="1" s="1"/>
  <c r="N38" i="1" s="1"/>
  <c r="O38" i="1" s="1"/>
  <c r="P38" i="1" s="1"/>
  <c r="Q38" i="1" s="1"/>
  <c r="R38" i="1" s="1"/>
  <c r="S38" i="1" s="1"/>
  <c r="T38" i="1" s="1"/>
  <c r="U38" i="1" s="1"/>
  <c r="V38" i="1" s="1"/>
  <c r="W38" i="1" s="1"/>
  <c r="D33" i="1"/>
  <c r="E33" i="1"/>
  <c r="F33" i="1" s="1"/>
  <c r="G33" i="1" s="1"/>
  <c r="H33" i="1" s="1"/>
  <c r="I33" i="1" s="1"/>
  <c r="J33" i="1" s="1"/>
  <c r="K33" i="1" s="1"/>
  <c r="L33" i="1" s="1"/>
  <c r="M33" i="1" s="1"/>
  <c r="N33" i="1" s="1"/>
  <c r="O33" i="1" s="1"/>
  <c r="P33" i="1" s="1"/>
  <c r="Q33" i="1" s="1"/>
  <c r="R33" i="1" s="1"/>
  <c r="S33" i="1" s="1"/>
  <c r="T33" i="1" s="1"/>
  <c r="U33" i="1" s="1"/>
  <c r="V33" i="1" s="1"/>
  <c r="W33" i="1" s="1"/>
  <c r="C31" i="1"/>
  <c r="V36" i="1" s="1"/>
  <c r="V42" i="1" s="1"/>
  <c r="C28" i="1"/>
  <c r="T34" i="1" s="1"/>
  <c r="T40" i="1" s="1"/>
  <c r="G34" i="1"/>
  <c r="G40" i="1" s="1"/>
  <c r="A3" i="3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D14" i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D9" i="1"/>
  <c r="E9" i="1"/>
  <c r="F9" i="1"/>
  <c r="G9" i="1"/>
  <c r="H9" i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W34" i="1"/>
  <c r="W40" i="1" s="1"/>
  <c r="N34" i="1"/>
  <c r="N40" i="1"/>
  <c r="M34" i="1"/>
  <c r="M40" i="1" s="1"/>
  <c r="R34" i="1"/>
  <c r="R40" i="1"/>
  <c r="V34" i="1"/>
  <c r="V40" i="1" s="1"/>
  <c r="V43" i="1" s="1"/>
  <c r="Q34" i="1"/>
  <c r="Q40" i="1"/>
  <c r="D34" i="1"/>
  <c r="D40" i="1" s="1"/>
  <c r="L34" i="1"/>
  <c r="L40" i="1"/>
  <c r="K34" i="1"/>
  <c r="K40" i="1" s="1"/>
  <c r="J34" i="1"/>
  <c r="J40" i="1"/>
  <c r="S36" i="1"/>
  <c r="S42" i="1" s="1"/>
  <c r="P36" i="1"/>
  <c r="P42" i="1" s="1"/>
  <c r="U36" i="1"/>
  <c r="U42" i="1" s="1"/>
  <c r="C3" i="1"/>
  <c r="C4" i="1"/>
  <c r="C5" i="1"/>
  <c r="C6" i="1"/>
  <c r="D9" i="74" a="1"/>
  <c r="B9" i="74" a="1"/>
  <c r="C9" i="74" a="1"/>
  <c r="N43" i="1" l="1"/>
  <c r="Q43" i="1"/>
  <c r="W43" i="1"/>
  <c r="C36" i="1"/>
  <c r="C42" i="1" s="1"/>
  <c r="N36" i="1"/>
  <c r="N42" i="1" s="1"/>
  <c r="I36" i="1"/>
  <c r="I42" i="1" s="1"/>
  <c r="K36" i="1"/>
  <c r="K42" i="1" s="1"/>
  <c r="K43" i="1" s="1"/>
  <c r="F34" i="1"/>
  <c r="F40" i="1" s="1"/>
  <c r="H34" i="1"/>
  <c r="H40" i="1" s="1"/>
  <c r="H43" i="1" s="1"/>
  <c r="O34" i="1"/>
  <c r="O40" i="1" s="1"/>
  <c r="S34" i="1"/>
  <c r="S40" i="1" s="1"/>
  <c r="S43" i="1" s="1"/>
  <c r="C34" i="1"/>
  <c r="C40" i="1" s="1"/>
  <c r="C43" i="1" s="1"/>
  <c r="Q36" i="1"/>
  <c r="Q42" i="1" s="1"/>
  <c r="J36" i="1"/>
  <c r="J42" i="1" s="1"/>
  <c r="J43" i="1" s="1"/>
  <c r="G36" i="1"/>
  <c r="G42" i="1" s="1"/>
  <c r="G43" i="1" s="1"/>
  <c r="M36" i="1"/>
  <c r="M42" i="1" s="1"/>
  <c r="M43" i="1" s="1"/>
  <c r="W36" i="1"/>
  <c r="W42" i="1" s="1"/>
  <c r="L36" i="1"/>
  <c r="L42" i="1" s="1"/>
  <c r="L43" i="1" s="1"/>
  <c r="H36" i="1"/>
  <c r="H42" i="1" s="1"/>
  <c r="O36" i="1"/>
  <c r="O42" i="1" s="1"/>
  <c r="P34" i="1"/>
  <c r="P40" i="1" s="1"/>
  <c r="P43" i="1" s="1"/>
  <c r="U34" i="1"/>
  <c r="U40" i="1" s="1"/>
  <c r="U43" i="1" s="1"/>
  <c r="I34" i="1"/>
  <c r="I40" i="1" s="1"/>
  <c r="I43" i="1" s="1"/>
  <c r="E34" i="1"/>
  <c r="E40" i="1" s="1"/>
  <c r="E43" i="1" s="1"/>
  <c r="F36" i="1"/>
  <c r="F42" i="1" s="1"/>
  <c r="T36" i="1"/>
  <c r="T42" i="1" s="1"/>
  <c r="T43" i="1" s="1"/>
  <c r="E36" i="1"/>
  <c r="E42" i="1" s="1"/>
  <c r="R36" i="1"/>
  <c r="R42" i="1" s="1"/>
  <c r="R43" i="1" s="1"/>
  <c r="D36" i="1"/>
  <c r="D42" i="1" s="1"/>
  <c r="D43" i="1" s="1"/>
  <c r="C39" i="1"/>
  <c r="C15" i="1"/>
  <c r="C11" i="74"/>
  <c r="C54" i="3" s="1"/>
  <c r="C17" i="74"/>
  <c r="C60" i="3" s="1"/>
  <c r="C9" i="74"/>
  <c r="C52" i="3" s="1"/>
  <c r="C29" i="74"/>
  <c r="C72" i="3" s="1"/>
  <c r="C25" i="74"/>
  <c r="C68" i="3" s="1"/>
  <c r="C31" i="74"/>
  <c r="C21" i="74"/>
  <c r="C64" i="3" s="1"/>
  <c r="C22" i="74"/>
  <c r="C65" i="3" s="1"/>
  <c r="C27" i="74"/>
  <c r="C70" i="3" s="1"/>
  <c r="C16" i="74"/>
  <c r="C59" i="3" s="1"/>
  <c r="C24" i="74"/>
  <c r="C67" i="3" s="1"/>
  <c r="C28" i="74"/>
  <c r="C71" i="3" s="1"/>
  <c r="C26" i="74"/>
  <c r="C69" i="3" s="1"/>
  <c r="C20" i="74"/>
  <c r="C63" i="3" s="1"/>
  <c r="C19" i="74"/>
  <c r="C62" i="3" s="1"/>
  <c r="C32" i="74"/>
  <c r="C23" i="74"/>
  <c r="C66" i="3" s="1"/>
  <c r="C10" i="74"/>
  <c r="C53" i="3" s="1"/>
  <c r="C18" i="74"/>
  <c r="C61" i="3" s="1"/>
  <c r="C14" i="74"/>
  <c r="C57" i="3" s="1"/>
  <c r="C15" i="74"/>
  <c r="C58" i="3" s="1"/>
  <c r="C30" i="74"/>
  <c r="C12" i="74"/>
  <c r="C55" i="3" s="1"/>
  <c r="C13" i="74"/>
  <c r="C56" i="3" s="1"/>
  <c r="B14" i="74"/>
  <c r="B57" i="3" s="1"/>
  <c r="B30" i="74"/>
  <c r="B31" i="74"/>
  <c r="B19" i="74"/>
  <c r="B62" i="3" s="1"/>
  <c r="B11" i="74"/>
  <c r="B54" i="3" s="1"/>
  <c r="B17" i="74"/>
  <c r="B60" i="3" s="1"/>
  <c r="B26" i="74"/>
  <c r="B69" i="3" s="1"/>
  <c r="B20" i="74"/>
  <c r="B63" i="3" s="1"/>
  <c r="B13" i="74"/>
  <c r="B56" i="3" s="1"/>
  <c r="B32" i="74"/>
  <c r="B10" i="74"/>
  <c r="B53" i="3" s="1"/>
  <c r="B15" i="74"/>
  <c r="B58" i="3" s="1"/>
  <c r="B12" i="74"/>
  <c r="B55" i="3" s="1"/>
  <c r="B16" i="74"/>
  <c r="B59" i="3" s="1"/>
  <c r="B9" i="74"/>
  <c r="B52" i="3" s="1"/>
  <c r="B25" i="74"/>
  <c r="B68" i="3" s="1"/>
  <c r="B24" i="74"/>
  <c r="B67" i="3" s="1"/>
  <c r="B28" i="74"/>
  <c r="B71" i="3" s="1"/>
  <c r="B27" i="74"/>
  <c r="B70" i="3" s="1"/>
  <c r="B21" i="74"/>
  <c r="B64" i="3" s="1"/>
  <c r="B18" i="74"/>
  <c r="B61" i="3" s="1"/>
  <c r="B23" i="74"/>
  <c r="B66" i="3" s="1"/>
  <c r="B29" i="74"/>
  <c r="B72" i="3" s="1"/>
  <c r="B22" i="74"/>
  <c r="B65" i="3" s="1"/>
  <c r="D22" i="74"/>
  <c r="D65" i="3" s="1"/>
  <c r="D20" i="74"/>
  <c r="D63" i="3" s="1"/>
  <c r="D18" i="74"/>
  <c r="D61" i="3" s="1"/>
  <c r="D13" i="74"/>
  <c r="D56" i="3" s="1"/>
  <c r="D21" i="74"/>
  <c r="D64" i="3" s="1"/>
  <c r="D15" i="74"/>
  <c r="D58" i="3" s="1"/>
  <c r="D32" i="74"/>
  <c r="D25" i="74"/>
  <c r="D68" i="3" s="1"/>
  <c r="D23" i="74"/>
  <c r="D66" i="3" s="1"/>
  <c r="D10" i="74"/>
  <c r="D53" i="3" s="1"/>
  <c r="D27" i="74"/>
  <c r="D70" i="3" s="1"/>
  <c r="D29" i="74"/>
  <c r="D72" i="3" s="1"/>
  <c r="D30" i="74"/>
  <c r="D14" i="74"/>
  <c r="D57" i="3" s="1"/>
  <c r="D17" i="74"/>
  <c r="D60" i="3" s="1"/>
  <c r="D24" i="74"/>
  <c r="D67" i="3" s="1"/>
  <c r="D12" i="74"/>
  <c r="D55" i="3" s="1"/>
  <c r="D9" i="74"/>
  <c r="D52" i="3" s="1"/>
  <c r="D16" i="74"/>
  <c r="D59" i="3" s="1"/>
  <c r="D19" i="74"/>
  <c r="D62" i="3" s="1"/>
  <c r="D26" i="74"/>
  <c r="D69" i="3" s="1"/>
  <c r="D28" i="74"/>
  <c r="D71" i="3" s="1"/>
  <c r="D31" i="74"/>
  <c r="D11" i="74"/>
  <c r="D54" i="3" s="1"/>
  <c r="F43" i="1" l="1"/>
  <c r="O43" i="1"/>
  <c r="G23" i="3"/>
  <c r="H23" i="3"/>
  <c r="I23" i="3"/>
  <c r="C11" i="1" a="1"/>
  <c r="C12" i="1" a="1"/>
  <c r="C10" i="1" a="1"/>
  <c r="G10" i="1" l="1"/>
  <c r="G16" i="1" s="1"/>
  <c r="H10" i="1"/>
  <c r="H16" i="1" s="1"/>
  <c r="O10" i="1"/>
  <c r="O16" i="1" s="1"/>
  <c r="Q10" i="1"/>
  <c r="Q16" i="1" s="1"/>
  <c r="T10" i="1"/>
  <c r="T16" i="1" s="1"/>
  <c r="U10" i="1"/>
  <c r="U16" i="1" s="1"/>
  <c r="I10" i="1"/>
  <c r="I16" i="1" s="1"/>
  <c r="L10" i="1"/>
  <c r="L16" i="1" s="1"/>
  <c r="W10" i="1"/>
  <c r="W16" i="1" s="1"/>
  <c r="S10" i="1"/>
  <c r="S16" i="1" s="1"/>
  <c r="P10" i="1"/>
  <c r="P16" i="1" s="1"/>
  <c r="K10" i="1"/>
  <c r="K16" i="1" s="1"/>
  <c r="J10" i="1"/>
  <c r="J16" i="1" s="1"/>
  <c r="V10" i="1"/>
  <c r="V16" i="1" s="1"/>
  <c r="M10" i="1"/>
  <c r="M16" i="1" s="1"/>
  <c r="N10" i="1"/>
  <c r="N16" i="1" s="1"/>
  <c r="D10" i="1"/>
  <c r="D16" i="1" s="1"/>
  <c r="F10" i="1"/>
  <c r="F16" i="1" s="1"/>
  <c r="C10" i="1"/>
  <c r="C16" i="1" s="1"/>
  <c r="R10" i="1"/>
  <c r="R16" i="1" s="1"/>
  <c r="E10" i="1"/>
  <c r="E16" i="1" s="1"/>
  <c r="O12" i="1"/>
  <c r="O18" i="1" s="1"/>
  <c r="S12" i="1"/>
  <c r="S18" i="1" s="1"/>
  <c r="N12" i="1"/>
  <c r="N18" i="1" s="1"/>
  <c r="G12" i="1"/>
  <c r="G18" i="1" s="1"/>
  <c r="U12" i="1"/>
  <c r="U18" i="1" s="1"/>
  <c r="I12" i="1"/>
  <c r="I18" i="1" s="1"/>
  <c r="M12" i="1"/>
  <c r="M18" i="1" s="1"/>
  <c r="C12" i="1"/>
  <c r="C18" i="1" s="1"/>
  <c r="L12" i="1"/>
  <c r="L18" i="1" s="1"/>
  <c r="E12" i="1"/>
  <c r="E18" i="1" s="1"/>
  <c r="R12" i="1"/>
  <c r="R18" i="1" s="1"/>
  <c r="T12" i="1"/>
  <c r="T18" i="1" s="1"/>
  <c r="Q12" i="1"/>
  <c r="Q18" i="1" s="1"/>
  <c r="H12" i="1"/>
  <c r="H18" i="1" s="1"/>
  <c r="J12" i="1"/>
  <c r="J18" i="1" s="1"/>
  <c r="V12" i="1"/>
  <c r="V18" i="1" s="1"/>
  <c r="K12" i="1"/>
  <c r="K18" i="1" s="1"/>
  <c r="P12" i="1"/>
  <c r="P18" i="1" s="1"/>
  <c r="W12" i="1"/>
  <c r="W18" i="1" s="1"/>
  <c r="F12" i="1"/>
  <c r="F18" i="1" s="1"/>
  <c r="D12" i="1"/>
  <c r="D18" i="1" s="1"/>
  <c r="O11" i="1"/>
  <c r="M11" i="1"/>
  <c r="W11" i="1"/>
  <c r="L11" i="1"/>
  <c r="E11" i="1"/>
  <c r="H11" i="1"/>
  <c r="I11" i="1"/>
  <c r="V11" i="1"/>
  <c r="T11" i="1"/>
  <c r="Q11" i="1"/>
  <c r="P11" i="1"/>
  <c r="R11" i="1"/>
  <c r="S11" i="1"/>
  <c r="C11" i="1"/>
  <c r="U11" i="1"/>
  <c r="J11" i="1"/>
  <c r="N11" i="1"/>
  <c r="G11" i="1"/>
  <c r="K11" i="1"/>
  <c r="D11" i="1"/>
  <c r="F11" i="1"/>
  <c r="J17" i="1" l="1"/>
  <c r="J20" i="1" s="1"/>
  <c r="J35" i="1"/>
  <c r="J41" i="1" s="1"/>
  <c r="J44" i="1" s="1"/>
  <c r="S19" i="1"/>
  <c r="G19" i="1"/>
  <c r="N19" i="1"/>
  <c r="L19" i="1"/>
  <c r="F17" i="1"/>
  <c r="F20" i="1" s="1"/>
  <c r="F35" i="1"/>
  <c r="F41" i="1" s="1"/>
  <c r="F44" i="1" s="1"/>
  <c r="S35" i="1"/>
  <c r="S41" i="1" s="1"/>
  <c r="S44" i="1" s="1"/>
  <c r="S17" i="1"/>
  <c r="S20" i="1" s="1"/>
  <c r="E35" i="1"/>
  <c r="E41" i="1" s="1"/>
  <c r="E44" i="1" s="1"/>
  <c r="E17" i="1"/>
  <c r="E20" i="1" s="1"/>
  <c r="M19" i="1"/>
  <c r="I19" i="1"/>
  <c r="H19" i="1"/>
  <c r="I35" i="1"/>
  <c r="I41" i="1" s="1"/>
  <c r="I44" i="1" s="1"/>
  <c r="I17" i="1"/>
  <c r="I20" i="1" s="1"/>
  <c r="T19" i="1"/>
  <c r="V35" i="1"/>
  <c r="V41" i="1" s="1"/>
  <c r="V44" i="1" s="1"/>
  <c r="V17" i="1"/>
  <c r="V20" i="1" s="1"/>
  <c r="D19" i="1"/>
  <c r="U19" i="1"/>
  <c r="W17" i="1"/>
  <c r="W20" i="1" s="1"/>
  <c r="W35" i="1"/>
  <c r="W41" i="1" s="1"/>
  <c r="W44" i="1" s="1"/>
  <c r="E19" i="1"/>
  <c r="G35" i="1"/>
  <c r="G41" i="1" s="1"/>
  <c r="G44" i="1" s="1"/>
  <c r="G17" i="1"/>
  <c r="G20" i="1" s="1"/>
  <c r="R19" i="1"/>
  <c r="K19" i="1"/>
  <c r="Q19" i="1"/>
  <c r="F19" i="1"/>
  <c r="U17" i="1"/>
  <c r="U20" i="1" s="1"/>
  <c r="U35" i="1"/>
  <c r="U41" i="1" s="1"/>
  <c r="U44" i="1" s="1"/>
  <c r="W19" i="1"/>
  <c r="C17" i="1"/>
  <c r="C20" i="1" s="1"/>
  <c r="C35" i="1"/>
  <c r="C41" i="1" s="1"/>
  <c r="C44" i="1" s="1"/>
  <c r="H17" i="1"/>
  <c r="H20" i="1" s="1"/>
  <c r="H35" i="1"/>
  <c r="H41" i="1" s="1"/>
  <c r="H44" i="1" s="1"/>
  <c r="D35" i="1"/>
  <c r="D41" i="1" s="1"/>
  <c r="D44" i="1" s="1"/>
  <c r="D17" i="1"/>
  <c r="D20" i="1" s="1"/>
  <c r="R35" i="1"/>
  <c r="R41" i="1" s="1"/>
  <c r="R44" i="1" s="1"/>
  <c r="R17" i="1"/>
  <c r="R20" i="1" s="1"/>
  <c r="L35" i="1"/>
  <c r="L41" i="1" s="1"/>
  <c r="L44" i="1" s="1"/>
  <c r="L17" i="1"/>
  <c r="L20" i="1" s="1"/>
  <c r="V19" i="1"/>
  <c r="K17" i="1"/>
  <c r="K20" i="1" s="1"/>
  <c r="K35" i="1"/>
  <c r="K41" i="1" s="1"/>
  <c r="K44" i="1" s="1"/>
  <c r="P17" i="1"/>
  <c r="P20" i="1" s="1"/>
  <c r="P35" i="1"/>
  <c r="P41" i="1" s="1"/>
  <c r="P44" i="1" s="1"/>
  <c r="J19" i="1"/>
  <c r="Q17" i="1"/>
  <c r="Q20" i="1" s="1"/>
  <c r="Q35" i="1"/>
  <c r="Q41" i="1" s="1"/>
  <c r="Q44" i="1" s="1"/>
  <c r="M17" i="1"/>
  <c r="M20" i="1" s="1"/>
  <c r="M35" i="1"/>
  <c r="M41" i="1" s="1"/>
  <c r="M44" i="1" s="1"/>
  <c r="N35" i="1"/>
  <c r="N41" i="1" s="1"/>
  <c r="N44" i="1" s="1"/>
  <c r="N17" i="1"/>
  <c r="N20" i="1" s="1"/>
  <c r="T35" i="1"/>
  <c r="T41" i="1" s="1"/>
  <c r="T44" i="1" s="1"/>
  <c r="T17" i="1"/>
  <c r="T20" i="1" s="1"/>
  <c r="O17" i="1"/>
  <c r="O20" i="1" s="1"/>
  <c r="O35" i="1"/>
  <c r="O41" i="1" s="1"/>
  <c r="O44" i="1" s="1"/>
  <c r="C19" i="1"/>
  <c r="P19" i="1"/>
  <c r="O19" i="1"/>
  <c r="R45" i="1" l="1"/>
  <c r="M45" i="1"/>
  <c r="R21" i="1"/>
  <c r="I45" i="1"/>
  <c r="E45" i="1"/>
  <c r="N21" i="1"/>
  <c r="W21" i="1"/>
  <c r="N45" i="1"/>
  <c r="C21" i="1"/>
  <c r="D45" i="1"/>
  <c r="U21" i="1"/>
  <c r="Q45" i="1"/>
  <c r="H45" i="1"/>
  <c r="G21" i="1"/>
  <c r="T21" i="1"/>
  <c r="K45" i="1"/>
  <c r="O45" i="1"/>
  <c r="V21" i="1"/>
  <c r="F21" i="1"/>
  <c r="G45" i="1"/>
  <c r="D21" i="1"/>
  <c r="H21" i="1"/>
  <c r="S45" i="1"/>
  <c r="M21" i="1"/>
  <c r="C45" i="1"/>
  <c r="Q21" i="1"/>
  <c r="I21" i="1"/>
  <c r="F45" i="1"/>
  <c r="K21" i="1"/>
  <c r="U45" i="1"/>
  <c r="O21" i="1"/>
  <c r="T45" i="1"/>
  <c r="J21" i="1"/>
  <c r="L45" i="1"/>
  <c r="E21" i="1"/>
  <c r="V45" i="1"/>
  <c r="S21" i="1"/>
  <c r="W45" i="1"/>
  <c r="L21" i="1"/>
  <c r="J45" i="1"/>
  <c r="P45" i="1"/>
  <c r="P21" i="1"/>
  <c r="C46" i="1"/>
  <c r="C47" i="1" s="1"/>
  <c r="R22" i="1"/>
  <c r="I46" i="1"/>
  <c r="Q46" i="1"/>
  <c r="G46" i="1"/>
  <c r="F46" i="1"/>
  <c r="V46" i="1"/>
  <c r="E46" i="1"/>
  <c r="H46" i="1"/>
  <c r="D22" i="1"/>
  <c r="K22" i="1"/>
  <c r="S22" i="1"/>
  <c r="N22" i="1"/>
  <c r="G22" i="1"/>
  <c r="H22" i="1"/>
  <c r="U46" i="1"/>
  <c r="W46" i="1"/>
  <c r="T22" i="1"/>
  <c r="S46" i="1"/>
  <c r="O22" i="1"/>
  <c r="L22" i="1"/>
  <c r="L46" i="1"/>
  <c r="U22" i="1"/>
  <c r="E22" i="1"/>
  <c r="W22" i="1"/>
  <c r="F22" i="1"/>
  <c r="N46" i="1"/>
  <c r="K46" i="1"/>
  <c r="M22" i="1"/>
  <c r="T46" i="1"/>
  <c r="J46" i="1"/>
  <c r="R46" i="1"/>
  <c r="C22" i="1"/>
  <c r="C23" i="1" s="1"/>
  <c r="O46" i="1"/>
  <c r="J22" i="1"/>
  <c r="P46" i="1"/>
  <c r="M46" i="1"/>
  <c r="D46" i="1"/>
  <c r="V22" i="1"/>
  <c r="Q22" i="1"/>
  <c r="P22" i="1"/>
  <c r="I22" i="1"/>
  <c r="B2" i="67" l="1"/>
</calcChain>
</file>

<file path=xl/sharedStrings.xml><?xml version="1.0" encoding="utf-8"?>
<sst xmlns="http://schemas.openxmlformats.org/spreadsheetml/2006/main" count="176" uniqueCount="107">
  <si>
    <t>OPEX</t>
  </si>
  <si>
    <t>CAPEX</t>
  </si>
  <si>
    <t>PERT</t>
  </si>
  <si>
    <t>Base</t>
  </si>
  <si>
    <t>Obs</t>
  </si>
  <si>
    <t xml:space="preserve"> </t>
  </si>
  <si>
    <t>AIC</t>
  </si>
  <si>
    <t>Triangular</t>
  </si>
  <si>
    <t>Normal</t>
  </si>
  <si>
    <t>Lognormal</t>
  </si>
  <si>
    <t>Sales Volume</t>
  </si>
  <si>
    <t>Product Price</t>
  </si>
  <si>
    <t>Mateirals Cost</t>
  </si>
  <si>
    <t>Simulation Mean 0-20</t>
  </si>
  <si>
    <t>Historical Mean</t>
  </si>
  <si>
    <t>Historical Std Deviation</t>
  </si>
  <si>
    <t>HISTORICAL DATA</t>
  </si>
  <si>
    <t>PROJECT DATA</t>
  </si>
  <si>
    <t>RISK MODEL</t>
  </si>
  <si>
    <t>Discount Rate</t>
  </si>
  <si>
    <t>CAPEX/Project</t>
  </si>
  <si>
    <t>CAPEX/Infrastructure</t>
  </si>
  <si>
    <t>OPEX/Year</t>
  </si>
  <si>
    <t>OPEX/Sales</t>
  </si>
  <si>
    <t>Taxes</t>
  </si>
  <si>
    <t>Distribution</t>
  </si>
  <si>
    <t>Low</t>
  </si>
  <si>
    <t>High</t>
  </si>
  <si>
    <t>MARKET DATA</t>
  </si>
  <si>
    <t>BUSINESS MODEL</t>
  </si>
  <si>
    <t>Revenues</t>
  </si>
  <si>
    <t>Free Cash Flow</t>
  </si>
  <si>
    <t>NPV</t>
  </si>
  <si>
    <t>MARKET DATA + CONTRACT</t>
  </si>
  <si>
    <t>BUSINESS MODEL + CONTRACT</t>
  </si>
  <si>
    <t>SALES CONTRACT DATA</t>
  </si>
  <si>
    <t>RISK MODEL
+
MITIGATION</t>
  </si>
  <si>
    <t>Product Price Discount</t>
  </si>
  <si>
    <t>Market</t>
  </si>
  <si>
    <t>* Market prices/costs</t>
  </si>
  <si>
    <t>* Fixed sales volume in the contract, based on historical mean</t>
  </si>
  <si>
    <t>* Fixed sales price in the contract, based on historical mean + discount</t>
  </si>
  <si>
    <t>* WHAT IS THE MAXIMUM DISCOUNT WE SHOULD OFFER IN THE CONTRACT?</t>
  </si>
  <si>
    <t>Name</t>
  </si>
  <si>
    <t>Range</t>
  </si>
  <si>
    <t>Best Fit (Ranked by AIC)</t>
  </si>
  <si>
    <t>Graph</t>
  </si>
  <si>
    <t>Function</t>
  </si>
  <si>
    <t>Correlation</t>
  </si>
  <si>
    <t>Sales Volume_x000D_
Transformed</t>
  </si>
  <si>
    <t>Mateirals Cost_x000D_
Transformed</t>
  </si>
  <si>
    <t>Sales Volume (Transformed)</t>
  </si>
  <si>
    <t>Mateirals Cost (Transformed)</t>
  </si>
  <si>
    <t>ChangingCell</t>
  </si>
  <si>
    <t>GoalCell</t>
  </si>
  <si>
    <t>GoalValue</t>
  </si>
  <si>
    <t>GoalStatisticOldFormat</t>
  </si>
  <si>
    <t>ComparisonAccuracyPercent</t>
  </si>
  <si>
    <t>MaxNumSimulations</t>
  </si>
  <si>
    <t>VariationMinimum</t>
  </si>
  <si>
    <t>VariationMaximum</t>
  </si>
  <si>
    <t>VariationMinimumInf</t>
  </si>
  <si>
    <t>VariationMaximumInf</t>
  </si>
  <si>
    <t>AccuracyIsPercent</t>
  </si>
  <si>
    <t>GenerateSimulationForSolution</t>
  </si>
  <si>
    <t>GoalStatisticPercentile</t>
  </si>
  <si>
    <t>ComparisonAccuracyValue</t>
  </si>
  <si>
    <t>GoalStatistic</t>
  </si>
  <si>
    <t>RecommendedVersion</t>
  </si>
  <si>
    <t>RequiredVersion</t>
  </si>
  <si>
    <t>8.1.0</t>
  </si>
  <si>
    <t>0.0.0</t>
  </si>
  <si>
    <t>Written By Version</t>
  </si>
  <si>
    <t>Serialization Major Version</t>
  </si>
  <si>
    <t>Serialization Minor Version</t>
  </si>
  <si>
    <t>Browse Record</t>
  </si>
  <si>
    <t>Display Mode</t>
  </si>
  <si>
    <t>Sens Graph Type</t>
  </si>
  <si>
    <t>Cond Sens Settings</t>
  </si>
  <si>
    <t>Scenario Settings</t>
  </si>
  <si>
    <t>Selected Scenario</t>
  </si>
  <si>
    <t>Distribution Options</t>
  </si>
  <si>
    <t>Distribution GS</t>
  </si>
  <si>
    <t>Distribution Curves</t>
  </si>
  <si>
    <t>Sens Tornado Options</t>
  </si>
  <si>
    <t>Sens Tornado GS</t>
  </si>
  <si>
    <t>Sens Tornado Curves</t>
  </si>
  <si>
    <t>Scen Tornado Options</t>
  </si>
  <si>
    <t>Scen Tornado GS</t>
  </si>
  <si>
    <t>Scen Tornado Curves</t>
  </si>
  <si>
    <t>Sens Spider Option</t>
  </si>
  <si>
    <t>Sens Spider GS</t>
  </si>
  <si>
    <t>Sens Spider Curves</t>
  </si>
  <si>
    <t>GF1_rK0qDwEAEwDGAAwjACcATwBYAGwAbQB7AIkAoQDCALwAKwD//wAAAgAAAAEEAAAAABoiJCIjLCMjMF8pO1tSZWRdKCIkIiMsIyMwKQAAAAEDTlBWAQABARAAAgABClN0YXRpc3RpY3MDAQEA/wEBAQEBAAEBAQAEAAAAAQEBAQEAAQEBAAQAAAABjQACEAADTlBWAAAA/9wUPAEAAAIAAgCpALIAAQEDAQAAAAAAAAAAAWZmZmZmZu4/AAAFAAEBAQABAQEA</t>
  </si>
  <si>
    <t>3,10,2,0.95,5,16,FALSE,0,TRUE,TRUE,TRUE</t>
  </si>
  <si>
    <t>GF1_4VKXXwEAEwBEAQwjACcATAB7AIsAjACaAKgAAAAAADwBKAD//wAAAQEEAAAAABoiJCIjLCMjMF8pO1tSZWRdKCIkIiMsIyMwKQAAAAEDTlBWASZJbnB1dHMgUmFua2VkIGJ5IEVmZmVjdCBvbiBPdXRwdXQgTWVhbgEBDAABAAEGTGVnZW5kAwABAP8BAQEBAQABAQEABAAAAAEBAQEBAAEBAQAEAAAACscACNkACOQACO8ACPoACAUBCBABCBsBCCYBCDEBCBAAA05QVgAAAP/cFDwBAAACAAkAAAABJQEAAAIACQAAAAJPAQAAAgAJAAAAA4wBAAACAAkAAAAETAEAAAIACQAAAAU5AQAAAgAJAAAABk4BAAACAAkAAAAHIwEAAAIACQAAAAgpAQAAAgAJAAAACWABAAACAAUAAQEBAAAB</t>
  </si>
  <si>
    <t>MarketData'!B2:B51</t>
  </si>
  <si>
    <t>RiskGARCH11(40390;9,2486E+05;0,27937;0,4286;39824;1349,4)</t>
  </si>
  <si>
    <t>MarketData'!C2:C51</t>
  </si>
  <si>
    <t>RiskMA2(6,8298;0,29504;0,75267;0,22645;-0,45828;0,43178)</t>
  </si>
  <si>
    <t>MarketData'!D2:D51</t>
  </si>
  <si>
    <t>RiskAR1(16,326;1,4567;0,69184;15,192)</t>
  </si>
  <si>
    <t>GF1_rK0qDwEAEwAMAQwjACcATwBsAIAAgQCPAJ0A5gAIAQIBKwD//wAAAAAAAAEEAAAAABoiJCIjLCMjMF8pO1tSZWRdKCIkIiMsIyMwKQAAAAEXRGlzdHJpYnV0aW9uIENvbXBhcmlzb24BAAEBEAACAAEKU3RhdGlzdGljcwMBAQD/AQEBAQEAAQEBAAQAAAABAQEBAQABAQEABAAAAAKkAALHAAIfABJGcmVlIENhc2ggRmxvdyAvIDgAAAD/3BQ8AQAAAgACABsAEkZyZWUgQ2FzaCBGbG93IC8gOAABJQEAAAIAAgDuAPgAAQEDAZqZmZmZmak/AABmZmZmZmbuPwAABQABAQEAAQEBAA==</t>
  </si>
  <si>
    <t>GF1_rK0qDwEAEwAMAQwjACcATwBsAIAAgQCPAJ0A5gAIAQIBKwD//wAAAAAAAAEEAAAAABoiJCIjLCMjMF8pO1tSZWRdKCIkIiMsIyMwKQAAAAEXRGlzdHJpYnV0aW9uIENvbXBhcmlzb24BAAEBEAACAAEKU3RhdGlzdGljcwMBAQD/AQEBAQEAAQEBAAQAAAABAQEBAQABAQEABAAAAAKkAALHAAIfABJGcmVlIENhc2ggRmxvdyAvIDMAAAD/3BQ8AQAAAgACABsAEkZyZWUgQ2FzaCBGbG93IC8gMwABJQEAAAIAAgDuAPgAAQEDAZqZmZmZmak/AABmZmZmZmbuPwAABQABAQEAAQEBAA==</t>
  </si>
  <si>
    <t>GF1_rK0qDwEAEwAMAQwjACcATwBsAIAAgQCPAJ0A5gAIAQIBKwD//wAAAAAAAAEEAAAAABoiJCIjLCMjMF8pO1tSZWRdKCIkIiMsIyMwKQAAAAEXRGlzdHJpYnV0aW9uIENvbXBhcmlzb24BAAEBEAACAAEKU3RhdGlzdGljcwMBAQD/AQEBAQEAAQEBAAQAAAABAQEBAQABAQEABAAAAAKkAALHAAIfABJGcmVlIENhc2ggRmxvdyAvIDIAAAD/3BQ8AQAAAgACABsAEkZyZWUgQ2FzaCBGbG93IC8gMgABJQEAAAIAAgDuAPgAAQEDAZqZmZmZmak/AABmZmZmZmbuPwAABQABAQEAAQEBAA==</t>
  </si>
  <si>
    <t>GF1_rK0qDwEAEwAMAQwjACcATwBsAIAAgQCPAJ0A5gAIAQIBKwD//wAAAAAAAAEEAAAAABoiJCIjLCMjMF8pO1tSZWRdKCIkIiMsIyMwKQAAAAEXRGlzdHJpYnV0aW9uIENvbXBhcmlzb24BAAEBEAACAAEKU3RhdGlzdGljcwMBAQD/AQEBAQEAAQEBAAQAAAABAQEBAQABAQEABAAAAAKkAALHAAIfABJGcmVlIENhc2ggRmxvdyAvIDEAAAD/3BQ8AQAAAgACABsAEkZyZWUgQ2FzaCBGbG93IC8gMQABJQEAAAIAAgDuAPgAAQEDAZqZmZmZmak/AABmZmZmZmbuPwAABQABAQEAAQEBAA==</t>
  </si>
  <si>
    <t>GF1_rK0qDwEAEwDuAAwjACcATwBsAIAAgQCPAJ0AyADqAOQAKwD//wAAAgAAAAEEAAAAABoiJCIjLCMjMF8pO1tSZWRdKCIkIiMsIyMwKQAAAAEXRGlzdHJpYnV0aW9uIENvbXBhcmlzb24BAAEBEAACAAEKU3RhdGlzdGljcwMBAQD/AQEBAQEAAQEBAAQAAAABAQEBAQABAQEABAAAAAKkAAK4AAIQAANOUFYAAAD/3BQ8AQAAAgACAAwAA05QVgABJQEAAAIAAgDQANoAAQEDAXsUrkfheoQ/AAFmZmZmZmbuPwAABQABAQEAAQEBA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</si>
</sst>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  <numFmt numFmtId="166" formatCode="0.0%"/>
    <numFmt numFmtId="167" formatCode="0.000"/>
    <numFmt numFmtId="168" formatCode="0.0000"/>
    <numFmt numFmtId="169" formatCode="&quot;$&quot;#,##0.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165" fontId="3" fillId="0" borderId="0" xfId="0" applyNumberFormat="1" applyFont="1"/>
    <xf numFmtId="1" fontId="0" fillId="0" borderId="0" xfId="0" applyNumberFormat="1"/>
    <xf numFmtId="165" fontId="0" fillId="0" borderId="0" xfId="0" applyNumberFormat="1" applyBorder="1"/>
    <xf numFmtId="0" fontId="1" fillId="0" borderId="0" xfId="0" applyFont="1"/>
    <xf numFmtId="0" fontId="0" fillId="0" borderId="4" xfId="0" applyBorder="1"/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5" fontId="0" fillId="0" borderId="3" xfId="0" applyNumberFormat="1" applyBorder="1"/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1" xfId="0" applyBorder="1"/>
    <xf numFmtId="1" fontId="0" fillId="2" borderId="7" xfId="0" applyNumberFormat="1" applyFill="1" applyBorder="1"/>
    <xf numFmtId="164" fontId="0" fillId="2" borderId="7" xfId="0" applyNumberFormat="1" applyFill="1" applyBorder="1"/>
    <xf numFmtId="164" fontId="0" fillId="2" borderId="1" xfId="0" applyNumberFormat="1" applyFill="1" applyBorder="1"/>
    <xf numFmtId="0" fontId="0" fillId="0" borderId="2" xfId="0" applyBorder="1"/>
    <xf numFmtId="164" fontId="0" fillId="0" borderId="7" xfId="0" applyNumberFormat="1" applyBorder="1"/>
    <xf numFmtId="164" fontId="0" fillId="0" borderId="1" xfId="0" applyNumberFormat="1" applyBorder="1"/>
    <xf numFmtId="0" fontId="2" fillId="3" borderId="10" xfId="0" applyFont="1" applyFill="1" applyBorder="1" applyAlignment="1">
      <alignment horizontal="center"/>
    </xf>
    <xf numFmtId="1" fontId="3" fillId="0" borderId="0" xfId="0" applyNumberFormat="1" applyFont="1" applyBorder="1"/>
    <xf numFmtId="1" fontId="3" fillId="0" borderId="3" xfId="0" applyNumberFormat="1" applyFont="1" applyBorder="1"/>
    <xf numFmtId="8" fontId="3" fillId="0" borderId="0" xfId="0" applyNumberFormat="1" applyFont="1" applyBorder="1"/>
    <xf numFmtId="8" fontId="3" fillId="0" borderId="7" xfId="0" applyNumberFormat="1" applyFont="1" applyBorder="1"/>
    <xf numFmtId="8" fontId="3" fillId="0" borderId="1" xfId="0" applyNumberFormat="1" applyFont="1" applyBorder="1"/>
    <xf numFmtId="6" fontId="3" fillId="0" borderId="0" xfId="0" applyNumberFormat="1" applyFont="1" applyBorder="1"/>
    <xf numFmtId="6" fontId="3" fillId="0" borderId="7" xfId="0" applyNumberFormat="1" applyFont="1" applyBorder="1"/>
    <xf numFmtId="165" fontId="3" fillId="4" borderId="3" xfId="0" applyNumberFormat="1" applyFont="1" applyFill="1" applyBorder="1"/>
    <xf numFmtId="164" fontId="3" fillId="4" borderId="3" xfId="0" applyNumberFormat="1" applyFont="1" applyFill="1" applyBorder="1"/>
    <xf numFmtId="166" fontId="3" fillId="0" borderId="1" xfId="0" applyNumberFormat="1" applyFont="1" applyFill="1" applyBorder="1"/>
    <xf numFmtId="8" fontId="3" fillId="5" borderId="2" xfId="0" applyNumberFormat="1" applyFont="1" applyFill="1" applyBorder="1"/>
    <xf numFmtId="0" fontId="0" fillId="0" borderId="12" xfId="0" applyBorder="1"/>
    <xf numFmtId="1" fontId="0" fillId="0" borderId="0" xfId="0" applyNumberFormat="1" applyBorder="1"/>
    <xf numFmtId="164" fontId="0" fillId="0" borderId="0" xfId="0" applyNumberFormat="1" applyBorder="1"/>
    <xf numFmtId="164" fontId="0" fillId="0" borderId="3" xfId="0" applyNumberFormat="1" applyBorder="1"/>
    <xf numFmtId="165" fontId="3" fillId="4" borderId="3" xfId="1" applyNumberFormat="1" applyFont="1" applyFill="1" applyBorder="1"/>
    <xf numFmtId="0" fontId="2" fillId="3" borderId="5" xfId="0" applyFont="1" applyFill="1" applyBorder="1" applyAlignment="1">
      <alignment horizontal="center"/>
    </xf>
    <xf numFmtId="1" fontId="0" fillId="5" borderId="6" xfId="0" applyNumberFormat="1" applyFill="1" applyBorder="1"/>
    <xf numFmtId="8" fontId="3" fillId="0" borderId="3" xfId="0" applyNumberFormat="1" applyFont="1" applyBorder="1"/>
    <xf numFmtId="6" fontId="3" fillId="0" borderId="14" xfId="0" applyNumberFormat="1" applyFont="1" applyBorder="1"/>
    <xf numFmtId="6" fontId="5" fillId="0" borderId="14" xfId="0" applyNumberFormat="1" applyFont="1" applyBorder="1"/>
    <xf numFmtId="6" fontId="5" fillId="0" borderId="5" xfId="0" applyNumberFormat="1" applyFont="1" applyBorder="1"/>
    <xf numFmtId="6" fontId="3" fillId="0" borderId="3" xfId="0" applyNumberFormat="1" applyFont="1" applyBorder="1"/>
    <xf numFmtId="6" fontId="3" fillId="0" borderId="1" xfId="0" applyNumberFormat="1" applyFont="1" applyBorder="1"/>
    <xf numFmtId="0" fontId="2" fillId="3" borderId="14" xfId="0" applyFont="1" applyFill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1" xfId="0" applyFont="1" applyBorder="1"/>
    <xf numFmtId="0" fontId="2" fillId="3" borderId="1" xfId="0" applyFont="1" applyFill="1" applyBorder="1"/>
    <xf numFmtId="1" fontId="0" fillId="5" borderId="4" xfId="0" applyNumberFormat="1" applyFill="1" applyBorder="1" applyAlignment="1">
      <alignment horizontal="right"/>
    </xf>
    <xf numFmtId="6" fontId="5" fillId="6" borderId="1" xfId="0" applyNumberFormat="1" applyFont="1" applyFill="1" applyBorder="1"/>
    <xf numFmtId="0" fontId="2" fillId="0" borderId="1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0" fillId="0" borderId="13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7" borderId="0" xfId="0" applyFont="1" applyFill="1"/>
    <xf numFmtId="49" fontId="0" fillId="8" borderId="17" xfId="0" applyNumberFormat="1" applyFill="1" applyBorder="1"/>
    <xf numFmtId="49" fontId="0" fillId="8" borderId="18" xfId="0" applyNumberFormat="1" applyFill="1" applyBorder="1"/>
    <xf numFmtId="49" fontId="0" fillId="8" borderId="19" xfId="0" applyNumberFormat="1" applyFill="1" applyBorder="1"/>
    <xf numFmtId="49" fontId="0" fillId="8" borderId="20" xfId="0" applyNumberFormat="1" applyFill="1" applyBorder="1"/>
    <xf numFmtId="0" fontId="0" fillId="0" borderId="22" xfId="0" applyBorder="1" applyAlignment="1">
      <alignment horizontal="left"/>
    </xf>
    <xf numFmtId="168" fontId="0" fillId="0" borderId="21" xfId="0" applyNumberFormat="1" applyBorder="1" applyAlignment="1">
      <alignment horizontal="right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2" xfId="0" applyBorder="1" applyAlignment="1">
      <alignment horizontal="left" vertical="top"/>
    </xf>
    <xf numFmtId="49" fontId="0" fillId="8" borderId="22" xfId="0" applyNumberFormat="1" applyFill="1" applyBorder="1"/>
    <xf numFmtId="49" fontId="0" fillId="8" borderId="21" xfId="0" applyNumberFormat="1" applyFill="1" applyBorder="1"/>
    <xf numFmtId="167" fontId="0" fillId="0" borderId="24" xfId="0" applyNumberFormat="1" applyBorder="1" applyAlignment="1">
      <alignment horizontal="right"/>
    </xf>
    <xf numFmtId="167" fontId="0" fillId="0" borderId="22" xfId="0" applyNumberFormat="1" applyBorder="1" applyAlignment="1">
      <alignment horizontal="right"/>
    </xf>
    <xf numFmtId="0" fontId="0" fillId="0" borderId="22" xfId="0" quotePrefix="1" applyBorder="1" applyAlignment="1">
      <alignment horizontal="left"/>
    </xf>
    <xf numFmtId="49" fontId="0" fillId="8" borderId="18" xfId="0" applyNumberFormat="1" applyFill="1" applyBorder="1" applyAlignment="1">
      <alignment wrapText="1"/>
    </xf>
    <xf numFmtId="49" fontId="0" fillId="8" borderId="19" xfId="0" applyNumberFormat="1" applyFill="1" applyBorder="1" applyAlignment="1">
      <alignment wrapText="1"/>
    </xf>
    <xf numFmtId="10" fontId="0" fillId="0" borderId="0" xfId="0" applyNumberFormat="1"/>
    <xf numFmtId="166" fontId="0" fillId="0" borderId="5" xfId="0" applyNumberFormat="1" applyBorder="1"/>
    <xf numFmtId="165" fontId="0" fillId="0" borderId="0" xfId="0" applyNumberFormat="1" applyBorder="1" applyAlignment="1">
      <alignment horizontal="center"/>
    </xf>
    <xf numFmtId="169" fontId="0" fillId="0" borderId="3" xfId="0" applyNumberFormat="1" applyBorder="1" applyAlignment="1">
      <alignment horizontal="center"/>
    </xf>
    <xf numFmtId="10" fontId="2" fillId="2" borderId="12" xfId="1" applyNumberFormat="1" applyFont="1" applyFill="1" applyBorder="1" applyAlignment="1">
      <alignment horizontal="right"/>
    </xf>
    <xf numFmtId="0" fontId="2" fillId="3" borderId="1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textRotation="255"/>
    </xf>
    <xf numFmtId="0" fontId="2" fillId="3" borderId="4" xfId="0" applyFont="1" applyFill="1" applyBorder="1" applyAlignment="1">
      <alignment horizontal="center" vertical="center" textRotation="255"/>
    </xf>
    <xf numFmtId="0" fontId="2" fillId="3" borderId="2" xfId="0" applyFont="1" applyFill="1" applyBorder="1" applyAlignment="1">
      <alignment horizontal="center" vertical="center" textRotation="255"/>
    </xf>
    <xf numFmtId="0" fontId="2" fillId="3" borderId="6" xfId="0" applyFont="1" applyFill="1" applyBorder="1" applyAlignment="1">
      <alignment horizontal="center" vertical="center" textRotation="255" wrapText="1"/>
    </xf>
    <xf numFmtId="0" fontId="2" fillId="3" borderId="4" xfId="0" applyFont="1" applyFill="1" applyBorder="1" applyAlignment="1">
      <alignment horizontal="center" vertical="center" textRotation="255" wrapText="1"/>
    </xf>
    <xf numFmtId="0" fontId="2" fillId="3" borderId="2" xfId="0" applyFont="1" applyFill="1" applyBorder="1" applyAlignment="1">
      <alignment horizontal="center" vertical="center" textRotation="255" wrapText="1"/>
    </xf>
    <xf numFmtId="165" fontId="5" fillId="2" borderId="0" xfId="0" applyNumberFormat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9">
    <dxf>
      <font>
        <color rgb="FFFFFFFF"/>
      </font>
      <fill>
        <patternFill>
          <bgColor rgb="FF008000"/>
        </patternFill>
      </fill>
    </dxf>
    <dxf>
      <font>
        <color rgb="FFFFFFFF"/>
      </font>
      <fill>
        <patternFill>
          <bgColor rgb="FF0000FF"/>
        </patternFill>
      </fill>
    </dxf>
    <dxf>
      <font>
        <color rgb="FFFFFFFF"/>
      </font>
      <fill>
        <patternFill>
          <bgColor rgb="FFDC143C"/>
        </patternFill>
      </fill>
    </dxf>
    <dxf>
      <font>
        <color rgb="FFFFFFFF"/>
      </font>
      <fill>
        <patternFill>
          <bgColor rgb="FF008000"/>
        </patternFill>
      </fill>
    </dxf>
    <dxf>
      <font>
        <color rgb="FFFFFFFF"/>
      </font>
      <fill>
        <patternFill>
          <bgColor rgb="FF0000FF"/>
        </patternFill>
      </fill>
    </dxf>
    <dxf>
      <font>
        <color rgb="FFFFFFFF"/>
      </font>
      <fill>
        <patternFill>
          <bgColor rgb="FFDC143C"/>
        </patternFill>
      </fill>
    </dxf>
    <dxf>
      <font>
        <color rgb="FFFFFFFF"/>
      </font>
      <fill>
        <patternFill>
          <bgColor rgb="FF008000"/>
        </patternFill>
      </fill>
    </dxf>
    <dxf>
      <font>
        <color rgb="FFFFFFFF"/>
      </font>
      <fill>
        <patternFill>
          <bgColor rgb="FF0000FF"/>
        </patternFill>
      </fill>
    </dxf>
    <dxf>
      <font>
        <color rgb="FFFFFFFF"/>
      </font>
      <fill>
        <patternFill>
          <bgColor rgb="FFDC143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1"/>
          <c:tx>
            <c:strRef>
              <c:f>MarketData!$C$1</c:f>
              <c:strCache>
                <c:ptCount val="1"/>
                <c:pt idx="0">
                  <c:v>Mateirals Cost</c:v>
                </c:pt>
              </c:strCache>
            </c:strRef>
          </c:tx>
          <c:marker>
            <c:symbol val="none"/>
          </c:marker>
          <c:xVal>
            <c:numRef>
              <c:f>MarketData!$A$2:$A$72</c:f>
              <c:numCache>
                <c:formatCode>General</c:formatCode>
                <c:ptCount val="71"/>
                <c:pt idx="0">
                  <c:v>-50</c:v>
                </c:pt>
                <c:pt idx="1">
                  <c:v>-49</c:v>
                </c:pt>
                <c:pt idx="2">
                  <c:v>-48</c:v>
                </c:pt>
                <c:pt idx="3">
                  <c:v>-47</c:v>
                </c:pt>
                <c:pt idx="4">
                  <c:v>-46</c:v>
                </c:pt>
                <c:pt idx="5">
                  <c:v>-45</c:v>
                </c:pt>
                <c:pt idx="6">
                  <c:v>-44</c:v>
                </c:pt>
                <c:pt idx="7">
                  <c:v>-43</c:v>
                </c:pt>
                <c:pt idx="8">
                  <c:v>-42</c:v>
                </c:pt>
                <c:pt idx="9">
                  <c:v>-41</c:v>
                </c:pt>
                <c:pt idx="10">
                  <c:v>-40</c:v>
                </c:pt>
                <c:pt idx="11">
                  <c:v>-39</c:v>
                </c:pt>
                <c:pt idx="12">
                  <c:v>-38</c:v>
                </c:pt>
                <c:pt idx="13">
                  <c:v>-37</c:v>
                </c:pt>
                <c:pt idx="14">
                  <c:v>-36</c:v>
                </c:pt>
                <c:pt idx="15">
                  <c:v>-35</c:v>
                </c:pt>
                <c:pt idx="16">
                  <c:v>-34</c:v>
                </c:pt>
                <c:pt idx="17">
                  <c:v>-33</c:v>
                </c:pt>
                <c:pt idx="18">
                  <c:v>-32</c:v>
                </c:pt>
                <c:pt idx="19">
                  <c:v>-31</c:v>
                </c:pt>
                <c:pt idx="20">
                  <c:v>-30</c:v>
                </c:pt>
                <c:pt idx="21">
                  <c:v>-29</c:v>
                </c:pt>
                <c:pt idx="22">
                  <c:v>-28</c:v>
                </c:pt>
                <c:pt idx="23">
                  <c:v>-27</c:v>
                </c:pt>
                <c:pt idx="24">
                  <c:v>-26</c:v>
                </c:pt>
                <c:pt idx="25">
                  <c:v>-25</c:v>
                </c:pt>
                <c:pt idx="26">
                  <c:v>-24</c:v>
                </c:pt>
                <c:pt idx="27">
                  <c:v>-23</c:v>
                </c:pt>
                <c:pt idx="28">
                  <c:v>-22</c:v>
                </c:pt>
                <c:pt idx="29">
                  <c:v>-21</c:v>
                </c:pt>
                <c:pt idx="30">
                  <c:v>-20</c:v>
                </c:pt>
                <c:pt idx="31">
                  <c:v>-19</c:v>
                </c:pt>
                <c:pt idx="32">
                  <c:v>-18</c:v>
                </c:pt>
                <c:pt idx="33">
                  <c:v>-17</c:v>
                </c:pt>
                <c:pt idx="34">
                  <c:v>-16</c:v>
                </c:pt>
                <c:pt idx="35">
                  <c:v>-15</c:v>
                </c:pt>
                <c:pt idx="36">
                  <c:v>-14</c:v>
                </c:pt>
                <c:pt idx="37">
                  <c:v>-13</c:v>
                </c:pt>
                <c:pt idx="38">
                  <c:v>-12</c:v>
                </c:pt>
                <c:pt idx="39">
                  <c:v>-11</c:v>
                </c:pt>
                <c:pt idx="40">
                  <c:v>-10</c:v>
                </c:pt>
                <c:pt idx="41">
                  <c:v>-9</c:v>
                </c:pt>
                <c:pt idx="42">
                  <c:v>-8</c:v>
                </c:pt>
                <c:pt idx="43">
                  <c:v>-7</c:v>
                </c:pt>
                <c:pt idx="44">
                  <c:v>-6</c:v>
                </c:pt>
                <c:pt idx="45">
                  <c:v>-5</c:v>
                </c:pt>
                <c:pt idx="46">
                  <c:v>-4</c:v>
                </c:pt>
                <c:pt idx="47">
                  <c:v>-3</c:v>
                </c:pt>
                <c:pt idx="48">
                  <c:v>-2</c:v>
                </c:pt>
                <c:pt idx="49">
                  <c:v>-1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3</c:v>
                </c:pt>
                <c:pt idx="54">
                  <c:v>4</c:v>
                </c:pt>
                <c:pt idx="55">
                  <c:v>5</c:v>
                </c:pt>
                <c:pt idx="56">
                  <c:v>6</c:v>
                </c:pt>
                <c:pt idx="57">
                  <c:v>7</c:v>
                </c:pt>
                <c:pt idx="58">
                  <c:v>8</c:v>
                </c:pt>
                <c:pt idx="59">
                  <c:v>9</c:v>
                </c:pt>
                <c:pt idx="60">
                  <c:v>10</c:v>
                </c:pt>
                <c:pt idx="61">
                  <c:v>11</c:v>
                </c:pt>
                <c:pt idx="62">
                  <c:v>12</c:v>
                </c:pt>
                <c:pt idx="63">
                  <c:v>13</c:v>
                </c:pt>
                <c:pt idx="64">
                  <c:v>14</c:v>
                </c:pt>
                <c:pt idx="65">
                  <c:v>15</c:v>
                </c:pt>
                <c:pt idx="66">
                  <c:v>16</c:v>
                </c:pt>
                <c:pt idx="67">
                  <c:v>17</c:v>
                </c:pt>
                <c:pt idx="68">
                  <c:v>18</c:v>
                </c:pt>
                <c:pt idx="69">
                  <c:v>19</c:v>
                </c:pt>
                <c:pt idx="70">
                  <c:v>20</c:v>
                </c:pt>
              </c:numCache>
            </c:numRef>
          </c:xVal>
          <c:yVal>
            <c:numRef>
              <c:f>MarketData!$C$2:$C$72</c:f>
              <c:numCache>
                <c:formatCode>"$"#,##0.00</c:formatCode>
                <c:ptCount val="71"/>
                <c:pt idx="0">
                  <c:v>5.0262827333176974</c:v>
                </c:pt>
                <c:pt idx="1">
                  <c:v>5.8639566830819581</c:v>
                </c:pt>
                <c:pt idx="2">
                  <c:v>8.4393782723235624</c:v>
                </c:pt>
                <c:pt idx="3">
                  <c:v>12.573525598329443</c:v>
                </c:pt>
                <c:pt idx="4">
                  <c:v>10.86137527313025</c:v>
                </c:pt>
                <c:pt idx="5">
                  <c:v>7.1599533430983486</c:v>
                </c:pt>
                <c:pt idx="6">
                  <c:v>5.180675590901747</c:v>
                </c:pt>
                <c:pt idx="7">
                  <c:v>5.0702541753647505</c:v>
                </c:pt>
                <c:pt idx="8">
                  <c:v>5.2378248314687612</c:v>
                </c:pt>
                <c:pt idx="9">
                  <c:v>5.4034534457027732</c:v>
                </c:pt>
                <c:pt idx="10">
                  <c:v>5.5364581072296168</c:v>
                </c:pt>
                <c:pt idx="11">
                  <c:v>4.7483560951583073</c:v>
                </c:pt>
                <c:pt idx="12">
                  <c:v>4.851208583773154</c:v>
                </c:pt>
                <c:pt idx="13">
                  <c:v>6.1953240527039846</c:v>
                </c:pt>
                <c:pt idx="14">
                  <c:v>7.8814385212046743</c:v>
                </c:pt>
                <c:pt idx="15">
                  <c:v>11.271408335525152</c:v>
                </c:pt>
                <c:pt idx="16">
                  <c:v>9.7091582975212063</c:v>
                </c:pt>
                <c:pt idx="17">
                  <c:v>7.5136650099123061</c:v>
                </c:pt>
                <c:pt idx="18">
                  <c:v>5.8774771902630629</c:v>
                </c:pt>
                <c:pt idx="19">
                  <c:v>5.47157128572365</c:v>
                </c:pt>
                <c:pt idx="20">
                  <c:v>5.5840598601607043</c:v>
                </c:pt>
                <c:pt idx="21">
                  <c:v>6.2605794175076834</c:v>
                </c:pt>
                <c:pt idx="22">
                  <c:v>5.9503015163990112</c:v>
                </c:pt>
                <c:pt idx="23">
                  <c:v>5.4710378788668557</c:v>
                </c:pt>
                <c:pt idx="24">
                  <c:v>5.3999147878230493</c:v>
                </c:pt>
                <c:pt idx="25">
                  <c:v>5.9101255866114855</c:v>
                </c:pt>
                <c:pt idx="26">
                  <c:v>8.2269623969304639</c:v>
                </c:pt>
                <c:pt idx="27">
                  <c:v>12.373290378112998</c:v>
                </c:pt>
                <c:pt idx="28">
                  <c:v>10.802418744833854</c:v>
                </c:pt>
                <c:pt idx="29">
                  <c:v>7.3505856362816857</c:v>
                </c:pt>
                <c:pt idx="30">
                  <c:v>5.6544732701215636</c:v>
                </c:pt>
                <c:pt idx="31">
                  <c:v>4.6382624450124439</c:v>
                </c:pt>
                <c:pt idx="32">
                  <c:v>4.7914879155363375</c:v>
                </c:pt>
                <c:pt idx="33">
                  <c:v>5.5100745151775348</c:v>
                </c:pt>
                <c:pt idx="34">
                  <c:v>5.6326819652178441</c:v>
                </c:pt>
                <c:pt idx="35">
                  <c:v>5.0292551846357529</c:v>
                </c:pt>
                <c:pt idx="36">
                  <c:v>5.0609348722750704</c:v>
                </c:pt>
                <c:pt idx="37">
                  <c:v>6.1343605534764825</c:v>
                </c:pt>
                <c:pt idx="38">
                  <c:v>7.5854728307063466</c:v>
                </c:pt>
                <c:pt idx="39">
                  <c:v>10.80674869119111</c:v>
                </c:pt>
                <c:pt idx="40">
                  <c:v>10.373725548372827</c:v>
                </c:pt>
                <c:pt idx="41">
                  <c:v>7.5882179421388116</c:v>
                </c:pt>
                <c:pt idx="42">
                  <c:v>6.0576509023439016</c:v>
                </c:pt>
                <c:pt idx="43">
                  <c:v>5.4461375549659135</c:v>
                </c:pt>
                <c:pt idx="44">
                  <c:v>5.5160805259259398</c:v>
                </c:pt>
                <c:pt idx="45">
                  <c:v>6.0532667763346524</c:v>
                </c:pt>
                <c:pt idx="46">
                  <c:v>6.1209170712832233</c:v>
                </c:pt>
                <c:pt idx="47">
                  <c:v>5.3354657893398487</c:v>
                </c:pt>
                <c:pt idx="48">
                  <c:v>5.6544120797758382</c:v>
                </c:pt>
                <c:pt idx="49">
                  <c:v>6.0180083538784794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A3-4F3D-A1F9-A87B5CC6FD61}"/>
            </c:ext>
          </c:extLst>
        </c:ser>
        <c:ser>
          <c:idx val="2"/>
          <c:order val="2"/>
          <c:tx>
            <c:strRef>
              <c:f>MarketData!$D$1</c:f>
              <c:strCache>
                <c:ptCount val="1"/>
                <c:pt idx="0">
                  <c:v>Product Price</c:v>
                </c:pt>
              </c:strCache>
            </c:strRef>
          </c:tx>
          <c:marker>
            <c:symbol val="none"/>
          </c:marker>
          <c:xVal>
            <c:numRef>
              <c:f>MarketData!$A$2:$A$72</c:f>
              <c:numCache>
                <c:formatCode>General</c:formatCode>
                <c:ptCount val="71"/>
                <c:pt idx="0">
                  <c:v>-50</c:v>
                </c:pt>
                <c:pt idx="1">
                  <c:v>-49</c:v>
                </c:pt>
                <c:pt idx="2">
                  <c:v>-48</c:v>
                </c:pt>
                <c:pt idx="3">
                  <c:v>-47</c:v>
                </c:pt>
                <c:pt idx="4">
                  <c:v>-46</c:v>
                </c:pt>
                <c:pt idx="5">
                  <c:v>-45</c:v>
                </c:pt>
                <c:pt idx="6">
                  <c:v>-44</c:v>
                </c:pt>
                <c:pt idx="7">
                  <c:v>-43</c:v>
                </c:pt>
                <c:pt idx="8">
                  <c:v>-42</c:v>
                </c:pt>
                <c:pt idx="9">
                  <c:v>-41</c:v>
                </c:pt>
                <c:pt idx="10">
                  <c:v>-40</c:v>
                </c:pt>
                <c:pt idx="11">
                  <c:v>-39</c:v>
                </c:pt>
                <c:pt idx="12">
                  <c:v>-38</c:v>
                </c:pt>
                <c:pt idx="13">
                  <c:v>-37</c:v>
                </c:pt>
                <c:pt idx="14">
                  <c:v>-36</c:v>
                </c:pt>
                <c:pt idx="15">
                  <c:v>-35</c:v>
                </c:pt>
                <c:pt idx="16">
                  <c:v>-34</c:v>
                </c:pt>
                <c:pt idx="17">
                  <c:v>-33</c:v>
                </c:pt>
                <c:pt idx="18">
                  <c:v>-32</c:v>
                </c:pt>
                <c:pt idx="19">
                  <c:v>-31</c:v>
                </c:pt>
                <c:pt idx="20">
                  <c:v>-30</c:v>
                </c:pt>
                <c:pt idx="21">
                  <c:v>-29</c:v>
                </c:pt>
                <c:pt idx="22">
                  <c:v>-28</c:v>
                </c:pt>
                <c:pt idx="23">
                  <c:v>-27</c:v>
                </c:pt>
                <c:pt idx="24">
                  <c:v>-26</c:v>
                </c:pt>
                <c:pt idx="25">
                  <c:v>-25</c:v>
                </c:pt>
                <c:pt idx="26">
                  <c:v>-24</c:v>
                </c:pt>
                <c:pt idx="27">
                  <c:v>-23</c:v>
                </c:pt>
                <c:pt idx="28">
                  <c:v>-22</c:v>
                </c:pt>
                <c:pt idx="29">
                  <c:v>-21</c:v>
                </c:pt>
                <c:pt idx="30">
                  <c:v>-20</c:v>
                </c:pt>
                <c:pt idx="31">
                  <c:v>-19</c:v>
                </c:pt>
                <c:pt idx="32">
                  <c:v>-18</c:v>
                </c:pt>
                <c:pt idx="33">
                  <c:v>-17</c:v>
                </c:pt>
                <c:pt idx="34">
                  <c:v>-16</c:v>
                </c:pt>
                <c:pt idx="35">
                  <c:v>-15</c:v>
                </c:pt>
                <c:pt idx="36">
                  <c:v>-14</c:v>
                </c:pt>
                <c:pt idx="37">
                  <c:v>-13</c:v>
                </c:pt>
                <c:pt idx="38">
                  <c:v>-12</c:v>
                </c:pt>
                <c:pt idx="39">
                  <c:v>-11</c:v>
                </c:pt>
                <c:pt idx="40">
                  <c:v>-10</c:v>
                </c:pt>
                <c:pt idx="41">
                  <c:v>-9</c:v>
                </c:pt>
                <c:pt idx="42">
                  <c:v>-8</c:v>
                </c:pt>
                <c:pt idx="43">
                  <c:v>-7</c:v>
                </c:pt>
                <c:pt idx="44">
                  <c:v>-6</c:v>
                </c:pt>
                <c:pt idx="45">
                  <c:v>-5</c:v>
                </c:pt>
                <c:pt idx="46">
                  <c:v>-4</c:v>
                </c:pt>
                <c:pt idx="47">
                  <c:v>-3</c:v>
                </c:pt>
                <c:pt idx="48">
                  <c:v>-2</c:v>
                </c:pt>
                <c:pt idx="49">
                  <c:v>-1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3</c:v>
                </c:pt>
                <c:pt idx="54">
                  <c:v>4</c:v>
                </c:pt>
                <c:pt idx="55">
                  <c:v>5</c:v>
                </c:pt>
                <c:pt idx="56">
                  <c:v>6</c:v>
                </c:pt>
                <c:pt idx="57">
                  <c:v>7</c:v>
                </c:pt>
                <c:pt idx="58">
                  <c:v>8</c:v>
                </c:pt>
                <c:pt idx="59">
                  <c:v>9</c:v>
                </c:pt>
                <c:pt idx="60">
                  <c:v>10</c:v>
                </c:pt>
                <c:pt idx="61">
                  <c:v>11</c:v>
                </c:pt>
                <c:pt idx="62">
                  <c:v>12</c:v>
                </c:pt>
                <c:pt idx="63">
                  <c:v>13</c:v>
                </c:pt>
                <c:pt idx="64">
                  <c:v>14</c:v>
                </c:pt>
                <c:pt idx="65">
                  <c:v>15</c:v>
                </c:pt>
                <c:pt idx="66">
                  <c:v>16</c:v>
                </c:pt>
                <c:pt idx="67">
                  <c:v>17</c:v>
                </c:pt>
                <c:pt idx="68">
                  <c:v>18</c:v>
                </c:pt>
                <c:pt idx="69">
                  <c:v>19</c:v>
                </c:pt>
                <c:pt idx="70">
                  <c:v>20</c:v>
                </c:pt>
              </c:numCache>
            </c:numRef>
          </c:xVal>
          <c:yVal>
            <c:numRef>
              <c:f>MarketData!$D$2:$D$72</c:f>
              <c:numCache>
                <c:formatCode>"$"#,##0.00</c:formatCode>
                <c:ptCount val="71"/>
                <c:pt idx="0">
                  <c:v>19.373243073558548</c:v>
                </c:pt>
                <c:pt idx="1">
                  <c:v>20.467296150039527</c:v>
                </c:pt>
                <c:pt idx="2">
                  <c:v>18.010684534134199</c:v>
                </c:pt>
                <c:pt idx="3">
                  <c:v>17.624392915815289</c:v>
                </c:pt>
                <c:pt idx="4">
                  <c:v>17.374597055499439</c:v>
                </c:pt>
                <c:pt idx="5">
                  <c:v>15.364964576962466</c:v>
                </c:pt>
                <c:pt idx="6">
                  <c:v>16.258396718238906</c:v>
                </c:pt>
                <c:pt idx="7">
                  <c:v>15.908455974901329</c:v>
                </c:pt>
                <c:pt idx="8">
                  <c:v>15.739951832081909</c:v>
                </c:pt>
                <c:pt idx="9">
                  <c:v>15.827929260986634</c:v>
                </c:pt>
                <c:pt idx="10">
                  <c:v>15.638734213481181</c:v>
                </c:pt>
                <c:pt idx="11">
                  <c:v>18.305538552655872</c:v>
                </c:pt>
                <c:pt idx="12">
                  <c:v>16.57637679579511</c:v>
                </c:pt>
                <c:pt idx="13">
                  <c:v>14.857438592919751</c:v>
                </c:pt>
                <c:pt idx="14">
                  <c:v>14.883259016821919</c:v>
                </c:pt>
                <c:pt idx="15">
                  <c:v>15.703437410887792</c:v>
                </c:pt>
                <c:pt idx="16">
                  <c:v>13.509243415026434</c:v>
                </c:pt>
                <c:pt idx="17">
                  <c:v>12.805163781971695</c:v>
                </c:pt>
                <c:pt idx="18">
                  <c:v>12.772200090153612</c:v>
                </c:pt>
                <c:pt idx="19">
                  <c:v>13.105942102805981</c:v>
                </c:pt>
                <c:pt idx="20">
                  <c:v>12.868522524683168</c:v>
                </c:pt>
                <c:pt idx="21">
                  <c:v>13.024371394452436</c:v>
                </c:pt>
                <c:pt idx="22">
                  <c:v>12.759949345772032</c:v>
                </c:pt>
                <c:pt idx="23">
                  <c:v>14.936080884804579</c:v>
                </c:pt>
                <c:pt idx="24">
                  <c:v>16.215189415298159</c:v>
                </c:pt>
                <c:pt idx="25">
                  <c:v>16.149404369339518</c:v>
                </c:pt>
                <c:pt idx="26">
                  <c:v>18.359477032997546</c:v>
                </c:pt>
                <c:pt idx="27">
                  <c:v>15.55752295221928</c:v>
                </c:pt>
                <c:pt idx="28">
                  <c:v>13.572686796957374</c:v>
                </c:pt>
                <c:pt idx="29">
                  <c:v>12.863688904922149</c:v>
                </c:pt>
                <c:pt idx="30">
                  <c:v>15.860425101109097</c:v>
                </c:pt>
                <c:pt idx="31">
                  <c:v>18.705198146883202</c:v>
                </c:pt>
                <c:pt idx="32">
                  <c:v>19.141656618633487</c:v>
                </c:pt>
                <c:pt idx="33">
                  <c:v>17.427441513282627</c:v>
                </c:pt>
                <c:pt idx="34">
                  <c:v>17.471007202800052</c:v>
                </c:pt>
                <c:pt idx="35">
                  <c:v>18.23427006305964</c:v>
                </c:pt>
                <c:pt idx="36">
                  <c:v>16.288161972723131</c:v>
                </c:pt>
                <c:pt idx="37">
                  <c:v>17.420338676779735</c:v>
                </c:pt>
                <c:pt idx="38">
                  <c:v>16.850949789231375</c:v>
                </c:pt>
                <c:pt idx="39">
                  <c:v>16.632450269822364</c:v>
                </c:pt>
                <c:pt idx="40">
                  <c:v>19.564953958828664</c:v>
                </c:pt>
                <c:pt idx="41">
                  <c:v>17.393198514912498</c:v>
                </c:pt>
                <c:pt idx="42">
                  <c:v>18.039549905377708</c:v>
                </c:pt>
                <c:pt idx="43">
                  <c:v>19.241035022764866</c:v>
                </c:pt>
                <c:pt idx="44">
                  <c:v>15.737549064381131</c:v>
                </c:pt>
                <c:pt idx="45">
                  <c:v>17.218903440684631</c:v>
                </c:pt>
                <c:pt idx="46">
                  <c:v>17.209171030733209</c:v>
                </c:pt>
                <c:pt idx="47">
                  <c:v>17.585395284772357</c:v>
                </c:pt>
                <c:pt idx="48">
                  <c:v>14.35607738267834</c:v>
                </c:pt>
                <c:pt idx="49">
                  <c:v>15.192410297905868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CA3-4F3D-A1F9-A87B5CC6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09920"/>
        <c:axId val="79655680"/>
      </c:scatterChart>
      <c:scatterChart>
        <c:scatterStyle val="lineMarker"/>
        <c:varyColors val="0"/>
        <c:ser>
          <c:idx val="0"/>
          <c:order val="0"/>
          <c:tx>
            <c:strRef>
              <c:f>MarketData!$B$1</c:f>
              <c:strCache>
                <c:ptCount val="1"/>
                <c:pt idx="0">
                  <c:v>Sales Volume</c:v>
                </c:pt>
              </c:strCache>
            </c:strRef>
          </c:tx>
          <c:marker>
            <c:symbol val="none"/>
          </c:marker>
          <c:xVal>
            <c:numRef>
              <c:f>MarketData!$A$2:$A$72</c:f>
              <c:numCache>
                <c:formatCode>General</c:formatCode>
                <c:ptCount val="71"/>
                <c:pt idx="0">
                  <c:v>-50</c:v>
                </c:pt>
                <c:pt idx="1">
                  <c:v>-49</c:v>
                </c:pt>
                <c:pt idx="2">
                  <c:v>-48</c:v>
                </c:pt>
                <c:pt idx="3">
                  <c:v>-47</c:v>
                </c:pt>
                <c:pt idx="4">
                  <c:v>-46</c:v>
                </c:pt>
                <c:pt idx="5">
                  <c:v>-45</c:v>
                </c:pt>
                <c:pt idx="6">
                  <c:v>-44</c:v>
                </c:pt>
                <c:pt idx="7">
                  <c:v>-43</c:v>
                </c:pt>
                <c:pt idx="8">
                  <c:v>-42</c:v>
                </c:pt>
                <c:pt idx="9">
                  <c:v>-41</c:v>
                </c:pt>
                <c:pt idx="10">
                  <c:v>-40</c:v>
                </c:pt>
                <c:pt idx="11">
                  <c:v>-39</c:v>
                </c:pt>
                <c:pt idx="12">
                  <c:v>-38</c:v>
                </c:pt>
                <c:pt idx="13">
                  <c:v>-37</c:v>
                </c:pt>
                <c:pt idx="14">
                  <c:v>-36</c:v>
                </c:pt>
                <c:pt idx="15">
                  <c:v>-35</c:v>
                </c:pt>
                <c:pt idx="16">
                  <c:v>-34</c:v>
                </c:pt>
                <c:pt idx="17">
                  <c:v>-33</c:v>
                </c:pt>
                <c:pt idx="18">
                  <c:v>-32</c:v>
                </c:pt>
                <c:pt idx="19">
                  <c:v>-31</c:v>
                </c:pt>
                <c:pt idx="20">
                  <c:v>-30</c:v>
                </c:pt>
                <c:pt idx="21">
                  <c:v>-29</c:v>
                </c:pt>
                <c:pt idx="22">
                  <c:v>-28</c:v>
                </c:pt>
                <c:pt idx="23">
                  <c:v>-27</c:v>
                </c:pt>
                <c:pt idx="24">
                  <c:v>-26</c:v>
                </c:pt>
                <c:pt idx="25">
                  <c:v>-25</c:v>
                </c:pt>
                <c:pt idx="26">
                  <c:v>-24</c:v>
                </c:pt>
                <c:pt idx="27">
                  <c:v>-23</c:v>
                </c:pt>
                <c:pt idx="28">
                  <c:v>-22</c:v>
                </c:pt>
                <c:pt idx="29">
                  <c:v>-21</c:v>
                </c:pt>
                <c:pt idx="30">
                  <c:v>-20</c:v>
                </c:pt>
                <c:pt idx="31">
                  <c:v>-19</c:v>
                </c:pt>
                <c:pt idx="32">
                  <c:v>-18</c:v>
                </c:pt>
                <c:pt idx="33">
                  <c:v>-17</c:v>
                </c:pt>
                <c:pt idx="34">
                  <c:v>-16</c:v>
                </c:pt>
                <c:pt idx="35">
                  <c:v>-15</c:v>
                </c:pt>
                <c:pt idx="36">
                  <c:v>-14</c:v>
                </c:pt>
                <c:pt idx="37">
                  <c:v>-13</c:v>
                </c:pt>
                <c:pt idx="38">
                  <c:v>-12</c:v>
                </c:pt>
                <c:pt idx="39">
                  <c:v>-11</c:v>
                </c:pt>
                <c:pt idx="40">
                  <c:v>-10</c:v>
                </c:pt>
                <c:pt idx="41">
                  <c:v>-9</c:v>
                </c:pt>
                <c:pt idx="42">
                  <c:v>-8</c:v>
                </c:pt>
                <c:pt idx="43">
                  <c:v>-7</c:v>
                </c:pt>
                <c:pt idx="44">
                  <c:v>-6</c:v>
                </c:pt>
                <c:pt idx="45">
                  <c:v>-5</c:v>
                </c:pt>
                <c:pt idx="46">
                  <c:v>-4</c:v>
                </c:pt>
                <c:pt idx="47">
                  <c:v>-3</c:v>
                </c:pt>
                <c:pt idx="48">
                  <c:v>-2</c:v>
                </c:pt>
                <c:pt idx="49">
                  <c:v>-1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3</c:v>
                </c:pt>
                <c:pt idx="54">
                  <c:v>4</c:v>
                </c:pt>
                <c:pt idx="55">
                  <c:v>5</c:v>
                </c:pt>
                <c:pt idx="56">
                  <c:v>6</c:v>
                </c:pt>
                <c:pt idx="57">
                  <c:v>7</c:v>
                </c:pt>
                <c:pt idx="58">
                  <c:v>8</c:v>
                </c:pt>
                <c:pt idx="59">
                  <c:v>9</c:v>
                </c:pt>
                <c:pt idx="60">
                  <c:v>10</c:v>
                </c:pt>
                <c:pt idx="61">
                  <c:v>11</c:v>
                </c:pt>
                <c:pt idx="62">
                  <c:v>12</c:v>
                </c:pt>
                <c:pt idx="63">
                  <c:v>13</c:v>
                </c:pt>
                <c:pt idx="64">
                  <c:v>14</c:v>
                </c:pt>
                <c:pt idx="65">
                  <c:v>15</c:v>
                </c:pt>
                <c:pt idx="66">
                  <c:v>16</c:v>
                </c:pt>
                <c:pt idx="67">
                  <c:v>17</c:v>
                </c:pt>
                <c:pt idx="68">
                  <c:v>18</c:v>
                </c:pt>
                <c:pt idx="69">
                  <c:v>19</c:v>
                </c:pt>
                <c:pt idx="70">
                  <c:v>20</c:v>
                </c:pt>
              </c:numCache>
            </c:numRef>
          </c:xVal>
          <c:yVal>
            <c:numRef>
              <c:f>MarketData!$B$2:$B$72</c:f>
              <c:numCache>
                <c:formatCode>0</c:formatCode>
                <c:ptCount val="71"/>
                <c:pt idx="0">
                  <c:v>37937.5</c:v>
                </c:pt>
                <c:pt idx="1">
                  <c:v>40064.716982625112</c:v>
                </c:pt>
                <c:pt idx="2">
                  <c:v>45175.967365061137</c:v>
                </c:pt>
                <c:pt idx="3">
                  <c:v>38493.244562025495</c:v>
                </c:pt>
                <c:pt idx="4">
                  <c:v>35703.743286812365</c:v>
                </c:pt>
                <c:pt idx="5">
                  <c:v>37316.804653663683</c:v>
                </c:pt>
                <c:pt idx="6">
                  <c:v>41420.464710366512</c:v>
                </c:pt>
                <c:pt idx="7">
                  <c:v>45961.421702621592</c:v>
                </c:pt>
                <c:pt idx="8">
                  <c:v>36316.146424307983</c:v>
                </c:pt>
                <c:pt idx="9">
                  <c:v>43360.407660354933</c:v>
                </c:pt>
                <c:pt idx="10">
                  <c:v>43956.638768544683</c:v>
                </c:pt>
                <c:pt idx="11">
                  <c:v>42586.035519561403</c:v>
                </c:pt>
                <c:pt idx="12">
                  <c:v>36320.746647205357</c:v>
                </c:pt>
                <c:pt idx="13">
                  <c:v>42794.878325660349</c:v>
                </c:pt>
                <c:pt idx="14">
                  <c:v>45754.781872158725</c:v>
                </c:pt>
                <c:pt idx="15">
                  <c:v>40187.040509458442</c:v>
                </c:pt>
                <c:pt idx="16">
                  <c:v>36666.47599004479</c:v>
                </c:pt>
                <c:pt idx="17">
                  <c:v>41132.592398652705</c:v>
                </c:pt>
                <c:pt idx="18">
                  <c:v>44467.605143965666</c:v>
                </c:pt>
                <c:pt idx="19">
                  <c:v>37855.509022446058</c:v>
                </c:pt>
                <c:pt idx="20">
                  <c:v>37645.496150376362</c:v>
                </c:pt>
                <c:pt idx="21">
                  <c:v>39620.896474216395</c:v>
                </c:pt>
                <c:pt idx="22">
                  <c:v>45102.149399629285</c:v>
                </c:pt>
                <c:pt idx="23">
                  <c:v>38015.222690106326</c:v>
                </c:pt>
                <c:pt idx="24">
                  <c:v>39030.698370534286</c:v>
                </c:pt>
                <c:pt idx="25">
                  <c:v>41952.938465843108</c:v>
                </c:pt>
                <c:pt idx="26">
                  <c:v>42553.289122875343</c:v>
                </c:pt>
                <c:pt idx="27">
                  <c:v>36561.531192964198</c:v>
                </c:pt>
                <c:pt idx="28">
                  <c:v>37905.025432273404</c:v>
                </c:pt>
                <c:pt idx="29">
                  <c:v>41174.992419144466</c:v>
                </c:pt>
                <c:pt idx="30">
                  <c:v>42554.592401902635</c:v>
                </c:pt>
                <c:pt idx="31">
                  <c:v>40894.823743769972</c:v>
                </c:pt>
                <c:pt idx="32">
                  <c:v>37301.885188719185</c:v>
                </c:pt>
                <c:pt idx="33">
                  <c:v>41063.037979610999</c:v>
                </c:pt>
                <c:pt idx="34">
                  <c:v>45473.562875958291</c:v>
                </c:pt>
                <c:pt idx="35">
                  <c:v>38910.456140260161</c:v>
                </c:pt>
                <c:pt idx="36">
                  <c:v>33904.008615755229</c:v>
                </c:pt>
                <c:pt idx="37">
                  <c:v>41021.84964353939</c:v>
                </c:pt>
                <c:pt idx="38">
                  <c:v>46968.320943893588</c:v>
                </c:pt>
                <c:pt idx="39">
                  <c:v>39362.08467635858</c:v>
                </c:pt>
                <c:pt idx="40">
                  <c:v>35760.009080874835</c:v>
                </c:pt>
                <c:pt idx="41">
                  <c:v>39814.507242575412</c:v>
                </c:pt>
                <c:pt idx="42">
                  <c:v>44541.681724700917</c:v>
                </c:pt>
                <c:pt idx="43">
                  <c:v>39117.376605970756</c:v>
                </c:pt>
                <c:pt idx="44">
                  <c:v>34590.239783234945</c:v>
                </c:pt>
                <c:pt idx="45">
                  <c:v>42327.016921022114</c:v>
                </c:pt>
                <c:pt idx="46">
                  <c:v>43121.790921747524</c:v>
                </c:pt>
                <c:pt idx="47">
                  <c:v>40537.490436209482</c:v>
                </c:pt>
                <c:pt idx="48">
                  <c:v>36651.192741510364</c:v>
                </c:pt>
                <c:pt idx="49">
                  <c:v>40476.663031752309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CA3-4F3D-A1F9-A87B5CC6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664640"/>
        <c:axId val="79660160"/>
      </c:scatterChart>
      <c:valAx>
        <c:axId val="794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9655680"/>
        <c:crossesAt val="0"/>
        <c:crossBetween val="midCat"/>
      </c:valAx>
      <c:valAx>
        <c:axId val="79655680"/>
        <c:scaling>
          <c:orientation val="minMax"/>
          <c:max val="35"/>
          <c:min val="0"/>
        </c:scaling>
        <c:delete val="0"/>
        <c:axPos val="r"/>
        <c:majorGridlines/>
        <c:numFmt formatCode="&quot;$&quot;#,##0.00" sourceLinked="1"/>
        <c:majorTickMark val="out"/>
        <c:minorTickMark val="none"/>
        <c:tickLblPos val="nextTo"/>
        <c:crossAx val="79409920"/>
        <c:crosses val="max"/>
        <c:crossBetween val="midCat"/>
      </c:valAx>
      <c:valAx>
        <c:axId val="79660160"/>
        <c:scaling>
          <c:orientation val="minMax"/>
          <c:max val="5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crossAx val="79664640"/>
        <c:crosses val="max"/>
        <c:crossBetween val="midCat"/>
      </c:valAx>
      <c:valAx>
        <c:axId val="79664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660160"/>
        <c:crosses val="autoZero"/>
        <c:crossBetween val="midCat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1</xdr:row>
      <xdr:rowOff>0</xdr:rowOff>
    </xdr:from>
    <xdr:to>
      <xdr:col>11</xdr:col>
      <xdr:colOff>0</xdr:colOff>
      <xdr:row>16</xdr:row>
      <xdr:rowOff>173182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0.59163</cdr:x>
      <cdr:y>0.04957</cdr:y>
    </cdr:from>
    <cdr:to>
      <cdr:x>0.87217</cdr:x>
      <cdr:y>0.78479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4688541" y="144957"/>
          <a:ext cx="2223247" cy="215000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60000"/>
            <a:lumOff val="40000"/>
            <a:alpha val="25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762000</xdr:colOff>
      <xdr:row>0</xdr:row>
      <xdr:rowOff>127000</xdr:rowOff>
    </xdr:from>
    <xdr:to>
      <xdr:col>2</xdr:col>
      <xdr:colOff>1105836</xdr:colOff>
      <xdr:row>0</xdr:row>
      <xdr:rowOff>705363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A874CFB-9673-464F-855A-9A94A0EA5BBF}"/>
            </a:ext>
          </a:extLst>
        </xdr:cNvPr>
        <xdr:cNvSpPr txBox="1"/>
      </xdr:nvSpPr>
      <xdr:spPr>
        <a:xfrm>
          <a:off x="762000" y="127000"/>
          <a:ext cx="3190553" cy="578363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Ins="0" bIns="0" rtlCol="0" anchor="t">
          <a:spAutoFit/>
        </a:bodyPr>
        <a:lstStyle/>
        <a:p>
          <a:r>
            <a:rPr lang="pt-BR" sz="1400" b="1"/>
            <a:t>Time Series Batch Fit Summary: Dataset 1</a:t>
          </a:r>
          <a:r>
            <a:rPr lang="pt-BR" sz="1000"/>
            <a:t>
</a:t>
          </a:r>
          <a:r>
            <a:rPr lang="pt-BR" sz="1000" b="1"/>
            <a:t>Performed By: </a:t>
          </a:r>
          <a:r>
            <a:rPr lang="pt-BR" sz="1000"/>
            <a:t>Rafael Hartke
</a:t>
          </a:r>
          <a:r>
            <a:rPr lang="pt-BR" sz="1000" b="1"/>
            <a:t>Date: </a:t>
          </a:r>
          <a:r>
            <a:rPr lang="pt-BR" sz="1000"/>
            <a:t>Tuesday, 13 de April de 2021 23:43:23</a:t>
          </a:r>
        </a:p>
      </xdr:txBody>
    </xdr:sp>
    <xdr:clientData/>
  </xdr:twoCellAnchor>
  <xdr:twoCellAnchor editAs="absolute">
    <xdr:from>
      <xdr:col>0</xdr:col>
      <xdr:colOff>127000</xdr:colOff>
      <xdr:row>0</xdr:row>
      <xdr:rowOff>127000</xdr:rowOff>
    </xdr:from>
    <xdr:to>
      <xdr:col>0</xdr:col>
      <xdr:colOff>698500</xdr:colOff>
      <xdr:row>0</xdr:row>
      <xdr:rowOff>698500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D5D579-20BB-4C22-B453-209C07EF3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27000"/>
          <a:ext cx="571500" cy="571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1423358</xdr:colOff>
      <xdr:row>8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6ED0843-A459-4F4B-A075-B2846D275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3358" y="1923691"/>
          <a:ext cx="1423358" cy="819509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5E1EE18-7BD9-42C0-827A-36024407DF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6717" y="1923691"/>
          <a:ext cx="1423358" cy="819509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1423358</xdr:colOff>
      <xdr:row>8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C86FF14-9CCC-4C68-8106-E0CC89C41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0075" y="1923691"/>
          <a:ext cx="1423358" cy="8195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9530E-281D-4338-869A-E2DE96279F8A}">
  <dimension ref="A1:E151"/>
  <sheetViews>
    <sheetView zoomScale="110" zoomScaleNormal="110" workbookViewId="0"/>
  </sheetViews>
  <sheetFormatPr defaultRowHeight="14.5" x14ac:dyDescent="0.35"/>
  <cols>
    <col min="1" max="5" width="24.453125" customWidth="1"/>
  </cols>
  <sheetData>
    <row r="1" spans="1:5" x14ac:dyDescent="0.35">
      <c r="A1" s="10" t="s">
        <v>4</v>
      </c>
      <c r="B1" s="13" t="s">
        <v>20</v>
      </c>
      <c r="C1" s="13" t="s">
        <v>21</v>
      </c>
      <c r="D1" s="13" t="s">
        <v>22</v>
      </c>
      <c r="E1" s="11" t="s">
        <v>23</v>
      </c>
    </row>
    <row r="2" spans="1:5" x14ac:dyDescent="0.35">
      <c r="A2" s="14">
        <v>1</v>
      </c>
      <c r="B2" s="90">
        <v>643768.12803822896</v>
      </c>
      <c r="C2" s="90">
        <v>301788.04454309685</v>
      </c>
      <c r="D2" s="90">
        <v>142365.51914540146</v>
      </c>
      <c r="E2" s="91">
        <v>0.70060697235697045</v>
      </c>
    </row>
    <row r="3" spans="1:5" x14ac:dyDescent="0.35">
      <c r="A3" s="14">
        <v>2</v>
      </c>
      <c r="B3" s="90">
        <v>677597.06661792146</v>
      </c>
      <c r="C3" s="90">
        <v>277181.53472872719</v>
      </c>
      <c r="D3" s="90">
        <v>133261.2925030989</v>
      </c>
      <c r="E3" s="91">
        <v>0.53586569382998839</v>
      </c>
    </row>
    <row r="4" spans="1:5" x14ac:dyDescent="0.35">
      <c r="A4" s="14">
        <v>3</v>
      </c>
      <c r="B4" s="90">
        <v>688983.74656771007</v>
      </c>
      <c r="C4" s="90">
        <v>255619.05406249204</v>
      </c>
      <c r="D4" s="90">
        <v>154897.28467485646</v>
      </c>
      <c r="E4" s="91">
        <v>0.17336038031872031</v>
      </c>
    </row>
    <row r="5" spans="1:5" x14ac:dyDescent="0.35">
      <c r="A5" s="14">
        <v>4</v>
      </c>
      <c r="B5" s="90">
        <v>679275.72820316348</v>
      </c>
      <c r="C5" s="90">
        <v>224164.66629687935</v>
      </c>
      <c r="D5" s="90">
        <v>133086.31854509897</v>
      </c>
      <c r="E5" s="91">
        <v>0.4781031008269393</v>
      </c>
    </row>
    <row r="6" spans="1:5" x14ac:dyDescent="0.35">
      <c r="A6" s="14">
        <v>5</v>
      </c>
      <c r="B6" s="90">
        <v>841335.35552942567</v>
      </c>
      <c r="C6" s="90">
        <v>240791.67228463956</v>
      </c>
      <c r="D6" s="90">
        <v>112599.94483273865</v>
      </c>
      <c r="E6" s="91">
        <v>0.54522746133669897</v>
      </c>
    </row>
    <row r="7" spans="1:5" x14ac:dyDescent="0.35">
      <c r="A7" s="14">
        <v>6</v>
      </c>
      <c r="B7" s="90">
        <v>894390.35979954142</v>
      </c>
      <c r="C7" s="90">
        <v>246165.84348376555</v>
      </c>
      <c r="D7" s="90">
        <v>146737.63371421021</v>
      </c>
      <c r="E7" s="91">
        <v>0.48652516798060053</v>
      </c>
    </row>
    <row r="8" spans="1:5" x14ac:dyDescent="0.35">
      <c r="A8" s="14">
        <v>7</v>
      </c>
      <c r="B8" s="90">
        <v>665919.49333907245</v>
      </c>
      <c r="C8" s="90">
        <v>244022.84594862422</v>
      </c>
      <c r="D8" s="90">
        <v>151169.18027325452</v>
      </c>
      <c r="E8" s="91">
        <v>0.70586033354696909</v>
      </c>
    </row>
    <row r="9" spans="1:5" x14ac:dyDescent="0.35">
      <c r="A9" s="14">
        <v>8</v>
      </c>
      <c r="B9" s="90">
        <v>787343.79582890531</v>
      </c>
      <c r="C9" s="90">
        <v>264081.34495769156</v>
      </c>
      <c r="D9" s="90">
        <v>139515.85755453774</v>
      </c>
      <c r="E9" s="91">
        <v>0.67701447408338544</v>
      </c>
    </row>
    <row r="10" spans="1:5" x14ac:dyDescent="0.35">
      <c r="A10" s="14">
        <v>9</v>
      </c>
      <c r="B10" s="90">
        <v>730853.89162742917</v>
      </c>
      <c r="C10" s="90">
        <v>244562.66273645678</v>
      </c>
      <c r="D10" s="90">
        <v>158850.27394773011</v>
      </c>
      <c r="E10" s="91">
        <v>0.31990659019186157</v>
      </c>
    </row>
    <row r="11" spans="1:5" x14ac:dyDescent="0.35">
      <c r="A11" s="14">
        <v>10</v>
      </c>
      <c r="B11" s="90">
        <v>866529.26307781762</v>
      </c>
      <c r="C11" s="90">
        <v>265941.68232298439</v>
      </c>
      <c r="D11" s="90">
        <v>136966.85992657626</v>
      </c>
      <c r="E11" s="91">
        <v>0.75964928866068537</v>
      </c>
    </row>
    <row r="12" spans="1:5" x14ac:dyDescent="0.35">
      <c r="A12" s="14">
        <v>11</v>
      </c>
      <c r="B12" s="90">
        <v>823620.09764854773</v>
      </c>
      <c r="C12" s="90">
        <v>262634.60401671741</v>
      </c>
      <c r="D12" s="90">
        <v>178041.10411488658</v>
      </c>
      <c r="E12" s="91">
        <v>0.22504247083536677</v>
      </c>
    </row>
    <row r="13" spans="1:5" x14ac:dyDescent="0.35">
      <c r="A13" s="14">
        <v>12</v>
      </c>
      <c r="B13" s="90">
        <v>654788.460047047</v>
      </c>
      <c r="C13" s="90">
        <v>279622.9020225018</v>
      </c>
      <c r="D13" s="90">
        <v>139221.76872367473</v>
      </c>
      <c r="E13" s="91">
        <v>0.31743798638065113</v>
      </c>
    </row>
    <row r="14" spans="1:5" x14ac:dyDescent="0.35">
      <c r="A14" s="14">
        <v>13</v>
      </c>
      <c r="B14" s="90">
        <v>862023.76483495324</v>
      </c>
      <c r="C14" s="90">
        <v>252841.99458315482</v>
      </c>
      <c r="D14" s="90">
        <v>107872.23291675378</v>
      </c>
      <c r="E14" s="91">
        <v>0.91965300712881481</v>
      </c>
    </row>
    <row r="15" spans="1:5" x14ac:dyDescent="0.35">
      <c r="A15" s="14">
        <v>14</v>
      </c>
      <c r="B15" s="90">
        <v>530246.8372889295</v>
      </c>
      <c r="C15" s="90">
        <v>243212.92534963338</v>
      </c>
      <c r="D15" s="90">
        <v>177098.97718691209</v>
      </c>
      <c r="E15" s="91">
        <v>0.54126933923854081</v>
      </c>
    </row>
    <row r="16" spans="1:5" x14ac:dyDescent="0.35">
      <c r="A16" s="14">
        <v>15</v>
      </c>
      <c r="B16" s="90">
        <v>771153.88833817013</v>
      </c>
      <c r="C16" s="90">
        <v>232813.82655256917</v>
      </c>
      <c r="D16" s="90">
        <v>151446.10271211984</v>
      </c>
      <c r="E16" s="91">
        <v>0.98158655984453747</v>
      </c>
    </row>
    <row r="17" spans="1:5" x14ac:dyDescent="0.35">
      <c r="A17" s="14">
        <v>16</v>
      </c>
      <c r="B17" s="90">
        <v>621548.66790047439</v>
      </c>
      <c r="C17" s="90">
        <v>287541.89718859596</v>
      </c>
      <c r="D17" s="90">
        <v>162799.89772843983</v>
      </c>
      <c r="E17" s="91">
        <v>0.54294645429715116</v>
      </c>
    </row>
    <row r="18" spans="1:5" x14ac:dyDescent="0.35">
      <c r="A18" s="14">
        <v>17</v>
      </c>
      <c r="B18" s="90">
        <v>805150.72591266315</v>
      </c>
      <c r="C18" s="90">
        <v>271031.18179077707</v>
      </c>
      <c r="D18" s="90">
        <v>159524.01102525456</v>
      </c>
      <c r="E18" s="91">
        <v>0.5209812343463176</v>
      </c>
    </row>
    <row r="19" spans="1:5" x14ac:dyDescent="0.35">
      <c r="A19" s="14">
        <v>18</v>
      </c>
      <c r="B19" s="90">
        <v>568795.51922221249</v>
      </c>
      <c r="C19" s="90">
        <v>217563.24014997794</v>
      </c>
      <c r="D19" s="90">
        <v>100758.0744600156</v>
      </c>
      <c r="E19" s="91">
        <v>0.36870145331926679</v>
      </c>
    </row>
    <row r="20" spans="1:5" x14ac:dyDescent="0.35">
      <c r="A20" s="14">
        <v>19</v>
      </c>
      <c r="B20" s="90">
        <v>789328.95088319911</v>
      </c>
      <c r="C20" s="90">
        <v>255161.6262256545</v>
      </c>
      <c r="D20" s="90">
        <v>186049.08537455241</v>
      </c>
      <c r="E20" s="91">
        <v>0.27649363388118303</v>
      </c>
    </row>
    <row r="21" spans="1:5" x14ac:dyDescent="0.35">
      <c r="A21" s="14">
        <v>20</v>
      </c>
      <c r="B21" s="90">
        <v>767662.03037092299</v>
      </c>
      <c r="C21" s="90">
        <v>269939.33210093318</v>
      </c>
      <c r="D21" s="90">
        <v>125844.9426230462</v>
      </c>
      <c r="E21" s="91">
        <v>0.23940757797379086</v>
      </c>
    </row>
    <row r="22" spans="1:5" x14ac:dyDescent="0.35">
      <c r="A22" s="14">
        <v>21</v>
      </c>
      <c r="B22" s="90">
        <v>591221.43603094295</v>
      </c>
      <c r="C22" s="90">
        <v>274286.58393302199</v>
      </c>
      <c r="D22" s="90">
        <v>141424.5722530694</v>
      </c>
      <c r="E22" s="91">
        <v>0.57135324346651739</v>
      </c>
    </row>
    <row r="23" spans="1:5" x14ac:dyDescent="0.35">
      <c r="A23" s="14">
        <v>22</v>
      </c>
      <c r="B23" s="90">
        <v>869060.59635207953</v>
      </c>
      <c r="C23" s="90">
        <v>245089.05070084429</v>
      </c>
      <c r="D23" s="90">
        <v>205799.00291671435</v>
      </c>
      <c r="E23" s="91">
        <v>0.43692659439476517</v>
      </c>
    </row>
    <row r="24" spans="1:5" x14ac:dyDescent="0.35">
      <c r="A24" s="14">
        <v>23</v>
      </c>
      <c r="B24" s="90">
        <v>713680.38667806343</v>
      </c>
      <c r="C24" s="90">
        <v>263066.5906509948</v>
      </c>
      <c r="D24" s="90">
        <v>151650.2183358584</v>
      </c>
      <c r="E24" s="91">
        <v>0.51306066822128682</v>
      </c>
    </row>
    <row r="25" spans="1:5" x14ac:dyDescent="0.35">
      <c r="A25" s="14">
        <v>24</v>
      </c>
      <c r="B25" s="90">
        <v>542674.24832866387</v>
      </c>
      <c r="C25" s="90">
        <v>234067.3790417391</v>
      </c>
      <c r="D25" s="90">
        <v>126821.02655781548</v>
      </c>
      <c r="E25" s="91">
        <v>0.7225877482511962</v>
      </c>
    </row>
    <row r="26" spans="1:5" x14ac:dyDescent="0.35">
      <c r="A26" s="14">
        <v>25</v>
      </c>
      <c r="B26" s="90">
        <v>629685.39866343001</v>
      </c>
      <c r="C26" s="90">
        <v>226201.82240779346</v>
      </c>
      <c r="D26" s="90">
        <v>157791.36518896831</v>
      </c>
      <c r="E26" s="91">
        <v>0.29475356063279728</v>
      </c>
    </row>
    <row r="27" spans="1:5" x14ac:dyDescent="0.35">
      <c r="A27" s="14">
        <v>26</v>
      </c>
      <c r="B27" s="90">
        <v>864894.6776317528</v>
      </c>
      <c r="C27" s="90">
        <v>263974.99899313936</v>
      </c>
      <c r="D27" s="90">
        <v>136232.62936693931</v>
      </c>
      <c r="E27" s="91">
        <v>0.30092124343233884</v>
      </c>
    </row>
    <row r="28" spans="1:5" x14ac:dyDescent="0.35">
      <c r="A28" s="14">
        <v>27</v>
      </c>
      <c r="B28" s="90">
        <v>773864.14467471302</v>
      </c>
      <c r="C28" s="90">
        <v>285136.88139118836</v>
      </c>
      <c r="D28" s="90">
        <v>175874.68107477456</v>
      </c>
      <c r="E28" s="91">
        <v>0.13872687549003182</v>
      </c>
    </row>
    <row r="29" spans="1:5" x14ac:dyDescent="0.35">
      <c r="A29" s="14">
        <v>28</v>
      </c>
      <c r="B29" s="90">
        <v>749390.3528118789</v>
      </c>
      <c r="C29" s="90">
        <v>285590.45396596147</v>
      </c>
      <c r="D29" s="90">
        <v>161172.6939794895</v>
      </c>
      <c r="E29" s="91">
        <v>0.64767049636949048</v>
      </c>
    </row>
    <row r="30" spans="1:5" x14ac:dyDescent="0.35">
      <c r="A30" s="14">
        <v>29</v>
      </c>
      <c r="B30" s="90">
        <v>722415.78787407966</v>
      </c>
      <c r="C30" s="90">
        <v>221071.72452225472</v>
      </c>
      <c r="D30" s="90">
        <v>168580.64239334338</v>
      </c>
      <c r="E30" s="91">
        <v>0.50478941467184146</v>
      </c>
    </row>
    <row r="31" spans="1:5" x14ac:dyDescent="0.35">
      <c r="A31" s="14">
        <v>30</v>
      </c>
      <c r="B31" s="90">
        <v>686533.95481597842</v>
      </c>
      <c r="C31" s="90">
        <v>255404.61215702019</v>
      </c>
      <c r="D31" s="90">
        <v>156008.01140354527</v>
      </c>
      <c r="E31" s="91">
        <v>0.27072995713369963</v>
      </c>
    </row>
    <row r="32" spans="1:5" x14ac:dyDescent="0.35">
      <c r="A32" s="14">
        <v>31</v>
      </c>
      <c r="B32" s="90">
        <v>791808.7244447188</v>
      </c>
      <c r="C32" s="90">
        <v>230450.82015114356</v>
      </c>
      <c r="D32" s="90">
        <v>131132.23808463788</v>
      </c>
      <c r="E32" s="91">
        <v>0.49229750959895818</v>
      </c>
    </row>
    <row r="33" spans="1:5" x14ac:dyDescent="0.35">
      <c r="A33" s="14">
        <v>32</v>
      </c>
      <c r="B33" s="90">
        <v>807499.2637031707</v>
      </c>
      <c r="C33" s="90">
        <v>299758.49909858289</v>
      </c>
      <c r="D33" s="90">
        <v>129843.45158342598</v>
      </c>
      <c r="E33" s="91">
        <v>0.33183374912969948</v>
      </c>
    </row>
    <row r="34" spans="1:5" x14ac:dyDescent="0.35">
      <c r="A34" s="14">
        <v>33</v>
      </c>
      <c r="B34" s="90">
        <v>603653.40538147907</v>
      </c>
      <c r="C34" s="90">
        <v>258064.69088438991</v>
      </c>
      <c r="D34" s="90">
        <v>165628.62046004503</v>
      </c>
      <c r="E34" s="91">
        <v>1.1945952478832929</v>
      </c>
    </row>
    <row r="35" spans="1:5" x14ac:dyDescent="0.35">
      <c r="A35" s="14">
        <v>34</v>
      </c>
      <c r="B35" s="90">
        <v>651614.47782199236</v>
      </c>
      <c r="C35" s="90">
        <v>273360.08260812028</v>
      </c>
      <c r="D35" s="90">
        <v>177308.3718157798</v>
      </c>
      <c r="E35" s="91">
        <v>0.33593938899511444</v>
      </c>
    </row>
    <row r="36" spans="1:5" x14ac:dyDescent="0.35">
      <c r="A36" s="14">
        <v>35</v>
      </c>
      <c r="B36" s="90">
        <v>770414.06495920499</v>
      </c>
      <c r="C36" s="90">
        <v>232719.07464293079</v>
      </c>
      <c r="D36" s="90">
        <v>145816.18463182688</v>
      </c>
      <c r="E36" s="91">
        <v>0.27337131039066137</v>
      </c>
    </row>
    <row r="37" spans="1:5" x14ac:dyDescent="0.35">
      <c r="A37" s="14">
        <v>36</v>
      </c>
      <c r="B37" s="90">
        <v>825418.3172508264</v>
      </c>
      <c r="C37" s="90">
        <v>282422.4132629435</v>
      </c>
      <c r="D37" s="90">
        <v>154182.43870905266</v>
      </c>
      <c r="E37" s="91">
        <v>0.45460999175209904</v>
      </c>
    </row>
    <row r="38" spans="1:5" x14ac:dyDescent="0.35">
      <c r="A38" s="14">
        <v>37</v>
      </c>
      <c r="B38" s="90">
        <v>801492.03573237185</v>
      </c>
      <c r="C38" s="90">
        <v>251167.00232115833</v>
      </c>
      <c r="D38" s="90">
        <v>159696.85836297643</v>
      </c>
      <c r="E38" s="91">
        <v>0.31697163829694575</v>
      </c>
    </row>
    <row r="39" spans="1:5" x14ac:dyDescent="0.35">
      <c r="A39" s="14">
        <v>38</v>
      </c>
      <c r="B39" s="90">
        <v>645119.33522382844</v>
      </c>
      <c r="C39" s="90">
        <v>258636.23341223109</v>
      </c>
      <c r="D39" s="90">
        <v>165968.37799540369</v>
      </c>
      <c r="E39" s="91">
        <v>0.19942810062048055</v>
      </c>
    </row>
    <row r="40" spans="1:5" x14ac:dyDescent="0.35">
      <c r="A40" s="14">
        <v>39</v>
      </c>
      <c r="B40" s="90">
        <v>740903.78461749083</v>
      </c>
      <c r="C40" s="90">
        <v>279644.83598255221</v>
      </c>
      <c r="D40" s="90">
        <v>149744.35885811917</v>
      </c>
      <c r="E40" s="91">
        <v>0.60686687666622963</v>
      </c>
    </row>
    <row r="41" spans="1:5" x14ac:dyDescent="0.35">
      <c r="A41" s="14">
        <v>40</v>
      </c>
      <c r="B41" s="90">
        <v>963367.85007640207</v>
      </c>
      <c r="C41" s="90">
        <v>280967.53810710495</v>
      </c>
      <c r="D41" s="90">
        <v>135446.82256616364</v>
      </c>
      <c r="E41" s="91">
        <v>0.1938652754541827</v>
      </c>
    </row>
    <row r="42" spans="1:5" x14ac:dyDescent="0.35">
      <c r="A42" s="14">
        <v>41</v>
      </c>
      <c r="B42" s="90">
        <v>672717.32792663341</v>
      </c>
      <c r="C42" s="90">
        <v>260943.09870235174</v>
      </c>
      <c r="D42" s="90">
        <v>144800.87172082122</v>
      </c>
      <c r="E42" s="91">
        <v>0.48271884292438466</v>
      </c>
    </row>
    <row r="43" spans="1:5" x14ac:dyDescent="0.35">
      <c r="A43" s="14">
        <v>42</v>
      </c>
      <c r="B43" s="90">
        <v>696217.18541608728</v>
      </c>
      <c r="C43" s="90">
        <v>236016.71744448232</v>
      </c>
      <c r="D43" s="90">
        <v>124142.75062896553</v>
      </c>
      <c r="E43" s="91">
        <v>0.58918026480031016</v>
      </c>
    </row>
    <row r="44" spans="1:5" x14ac:dyDescent="0.35">
      <c r="A44" s="14">
        <v>43</v>
      </c>
      <c r="B44" s="90">
        <v>599072.52068188705</v>
      </c>
      <c r="C44" s="90">
        <v>294144.04811977071</v>
      </c>
      <c r="D44" s="90">
        <v>178915.90678191581</v>
      </c>
      <c r="E44" s="91">
        <v>0.87124508537345968</v>
      </c>
    </row>
    <row r="45" spans="1:5" x14ac:dyDescent="0.35">
      <c r="A45" s="14">
        <v>44</v>
      </c>
      <c r="B45" s="90">
        <v>682781.49985703174</v>
      </c>
      <c r="C45" s="90">
        <v>295035.77751477266</v>
      </c>
      <c r="D45" s="90">
        <v>139221.89071908427</v>
      </c>
      <c r="E45" s="91">
        <v>0.76933714662286856</v>
      </c>
    </row>
    <row r="46" spans="1:5" x14ac:dyDescent="0.35">
      <c r="A46" s="14">
        <v>45</v>
      </c>
      <c r="B46" s="90">
        <v>739148.80226188991</v>
      </c>
      <c r="C46" s="90">
        <v>270617.89206102479</v>
      </c>
      <c r="D46" s="90">
        <v>115721.45315915308</v>
      </c>
      <c r="E46" s="91">
        <v>0.3782632515103016</v>
      </c>
    </row>
    <row r="47" spans="1:5" x14ac:dyDescent="0.35">
      <c r="A47" s="14">
        <v>46</v>
      </c>
      <c r="B47" s="90">
        <v>768922.17163937446</v>
      </c>
      <c r="C47" s="90">
        <v>221410.53084707944</v>
      </c>
      <c r="D47" s="90">
        <v>175604.16707194643</v>
      </c>
      <c r="E47" s="91">
        <v>0.92361200594607062</v>
      </c>
    </row>
    <row r="48" spans="1:5" x14ac:dyDescent="0.35">
      <c r="A48" s="14">
        <v>47</v>
      </c>
      <c r="B48" s="90">
        <v>696324.02618243964</v>
      </c>
      <c r="C48" s="90">
        <v>217395.78308984949</v>
      </c>
      <c r="D48" s="90">
        <v>147736.03072495139</v>
      </c>
      <c r="E48" s="91">
        <v>0.31215929270172071</v>
      </c>
    </row>
    <row r="49" spans="1:5" x14ac:dyDescent="0.35">
      <c r="A49" s="14">
        <v>48</v>
      </c>
      <c r="B49" s="90">
        <v>776619.16531098704</v>
      </c>
      <c r="C49" s="90">
        <v>242792.7882953636</v>
      </c>
      <c r="D49" s="90">
        <v>152692.1571995455</v>
      </c>
      <c r="E49" s="91">
        <v>0.29270561350383728</v>
      </c>
    </row>
    <row r="50" spans="1:5" x14ac:dyDescent="0.35">
      <c r="A50" s="14">
        <v>49</v>
      </c>
      <c r="B50" s="90">
        <v>821373.91559450747</v>
      </c>
      <c r="C50" s="90">
        <v>229078.48416804356</v>
      </c>
      <c r="D50" s="90">
        <v>173083.8073377801</v>
      </c>
      <c r="E50" s="91">
        <v>0.47282206561103163</v>
      </c>
    </row>
    <row r="51" spans="1:5" x14ac:dyDescent="0.35">
      <c r="A51" s="14">
        <v>50</v>
      </c>
      <c r="B51" s="90">
        <v>572509.16015341843</v>
      </c>
      <c r="C51" s="90">
        <v>319891.11982798588</v>
      </c>
      <c r="D51" s="90">
        <v>153407.48540041217</v>
      </c>
      <c r="E51" s="91">
        <v>0.53878348425220135</v>
      </c>
    </row>
    <row r="52" spans="1:5" x14ac:dyDescent="0.35">
      <c r="A52" s="14">
        <v>51</v>
      </c>
      <c r="B52" s="90">
        <v>639247.76167412731</v>
      </c>
      <c r="C52" s="90">
        <v>279936.60458040313</v>
      </c>
      <c r="D52" s="90">
        <v>147268.69758515281</v>
      </c>
      <c r="E52" s="91">
        <v>0.35657734986918138</v>
      </c>
    </row>
    <row r="53" spans="1:5" x14ac:dyDescent="0.35">
      <c r="A53" s="14">
        <v>52</v>
      </c>
      <c r="B53" s="90">
        <v>759968.89168991079</v>
      </c>
      <c r="C53" s="90">
        <v>234782.2522539135</v>
      </c>
      <c r="D53" s="90">
        <v>169027.85521984816</v>
      </c>
      <c r="E53" s="91">
        <v>0.1613672461077803</v>
      </c>
    </row>
    <row r="54" spans="1:5" x14ac:dyDescent="0.35">
      <c r="A54" s="14">
        <v>53</v>
      </c>
      <c r="B54" s="90">
        <v>776227.26055059093</v>
      </c>
      <c r="C54" s="90">
        <v>249745.83879528262</v>
      </c>
      <c r="D54" s="90">
        <v>140008.18555537215</v>
      </c>
      <c r="E54" s="91">
        <v>0.49545199358787784</v>
      </c>
    </row>
    <row r="55" spans="1:5" x14ac:dyDescent="0.35">
      <c r="A55" s="14">
        <v>54</v>
      </c>
      <c r="B55" s="90">
        <v>778139.40185103426</v>
      </c>
      <c r="C55" s="90">
        <v>217997.97241767455</v>
      </c>
      <c r="D55" s="90">
        <v>175809.24755690363</v>
      </c>
      <c r="E55" s="91">
        <v>0.40638272464544611</v>
      </c>
    </row>
    <row r="56" spans="1:5" x14ac:dyDescent="0.35">
      <c r="A56" s="14">
        <v>55</v>
      </c>
      <c r="B56" s="90">
        <v>884652.35918745911</v>
      </c>
      <c r="C56" s="90">
        <v>271292.43499966036</v>
      </c>
      <c r="D56" s="90">
        <v>137861.55476650657</v>
      </c>
      <c r="E56" s="91">
        <v>0.24498476664991312</v>
      </c>
    </row>
    <row r="57" spans="1:5" x14ac:dyDescent="0.35">
      <c r="A57" s="14">
        <v>56</v>
      </c>
      <c r="B57" s="90">
        <v>594124.92203697853</v>
      </c>
      <c r="C57" s="90">
        <v>250629.34621290062</v>
      </c>
      <c r="D57" s="90">
        <v>125697.23382799982</v>
      </c>
      <c r="E57" s="91">
        <v>0.66713913953014348</v>
      </c>
    </row>
    <row r="58" spans="1:5" x14ac:dyDescent="0.35">
      <c r="A58" s="14">
        <v>57</v>
      </c>
      <c r="B58" s="90">
        <v>524204.18250630394</v>
      </c>
      <c r="C58" s="90">
        <v>271804.82875155483</v>
      </c>
      <c r="D58" s="90">
        <v>163328.91811459186</v>
      </c>
      <c r="E58" s="91">
        <v>0.38260934210938752</v>
      </c>
    </row>
    <row r="59" spans="1:5" x14ac:dyDescent="0.35">
      <c r="A59" s="14">
        <v>58</v>
      </c>
      <c r="B59" s="90">
        <v>899182.30558226898</v>
      </c>
      <c r="C59" s="90">
        <v>231831.19956496492</v>
      </c>
      <c r="D59" s="90">
        <v>162190.55757858994</v>
      </c>
      <c r="E59" s="91">
        <v>1.2997886548511992</v>
      </c>
    </row>
    <row r="60" spans="1:5" x14ac:dyDescent="0.35">
      <c r="A60" s="14">
        <v>59</v>
      </c>
      <c r="B60" s="90">
        <v>731022.21785865782</v>
      </c>
      <c r="C60" s="90">
        <v>250488.31568072806</v>
      </c>
      <c r="D60" s="90">
        <v>139733.86403542015</v>
      </c>
      <c r="E60" s="91">
        <v>0.68840003033545594</v>
      </c>
    </row>
    <row r="61" spans="1:5" x14ac:dyDescent="0.35">
      <c r="A61" s="14">
        <v>60</v>
      </c>
      <c r="B61" s="90">
        <v>776462.81660501391</v>
      </c>
      <c r="C61" s="90">
        <v>288377.28223099897</v>
      </c>
      <c r="D61" s="90">
        <v>168828.29717376726</v>
      </c>
      <c r="E61" s="91">
        <v>0.53909273861844687</v>
      </c>
    </row>
    <row r="62" spans="1:5" x14ac:dyDescent="0.35">
      <c r="A62" s="14">
        <v>61</v>
      </c>
      <c r="B62" s="90">
        <v>677625.91856244043</v>
      </c>
      <c r="C62" s="90">
        <v>221044.7666288667</v>
      </c>
      <c r="D62" s="90">
        <v>150635.82062429466</v>
      </c>
      <c r="E62" s="91">
        <v>0.12734675458002814</v>
      </c>
    </row>
    <row r="63" spans="1:5" x14ac:dyDescent="0.35">
      <c r="A63" s="14">
        <v>62</v>
      </c>
      <c r="B63" s="90">
        <v>712780.20830806345</v>
      </c>
      <c r="C63" s="90">
        <v>273565.20287681645</v>
      </c>
      <c r="D63" s="90">
        <v>139710.44059038453</v>
      </c>
      <c r="E63" s="91">
        <v>0.38887948542707329</v>
      </c>
    </row>
    <row r="64" spans="1:5" x14ac:dyDescent="0.35">
      <c r="A64" s="14">
        <v>63</v>
      </c>
      <c r="B64" s="90">
        <v>908353.87792509049</v>
      </c>
      <c r="C64" s="90">
        <v>257435.35424055479</v>
      </c>
      <c r="D64" s="90">
        <v>149478.50652154782</v>
      </c>
      <c r="E64" s="91">
        <v>0.46988119877015222</v>
      </c>
    </row>
    <row r="65" spans="1:5" x14ac:dyDescent="0.35">
      <c r="A65" s="14">
        <v>64</v>
      </c>
      <c r="B65" s="90">
        <v>718660.0018519928</v>
      </c>
      <c r="C65" s="90">
        <v>242826.71723910037</v>
      </c>
      <c r="D65" s="90">
        <v>173294.52285882205</v>
      </c>
      <c r="E65" s="91">
        <v>0.59780211726329635</v>
      </c>
    </row>
    <row r="66" spans="1:5" x14ac:dyDescent="0.35">
      <c r="A66" s="14">
        <v>65</v>
      </c>
      <c r="B66" s="90">
        <v>701981.24509196449</v>
      </c>
      <c r="C66" s="90">
        <v>213527.18217711331</v>
      </c>
      <c r="D66" s="90">
        <v>165608.22286706476</v>
      </c>
      <c r="E66" s="91">
        <v>0.65266785899020308</v>
      </c>
    </row>
    <row r="67" spans="1:5" x14ac:dyDescent="0.35">
      <c r="A67" s="14">
        <v>66</v>
      </c>
      <c r="B67" s="90">
        <v>724637.65652590326</v>
      </c>
      <c r="C67" s="90">
        <v>276470.21973467816</v>
      </c>
      <c r="D67" s="90">
        <v>139918.86861302148</v>
      </c>
      <c r="E67" s="91">
        <v>0.49670479491516284</v>
      </c>
    </row>
    <row r="68" spans="1:5" x14ac:dyDescent="0.35">
      <c r="A68" s="14">
        <v>67</v>
      </c>
      <c r="B68" s="90">
        <v>620748.95835886849</v>
      </c>
      <c r="C68" s="90">
        <v>223400.98233794415</v>
      </c>
      <c r="D68" s="90">
        <v>128284.03267089749</v>
      </c>
      <c r="E68" s="91">
        <v>0.58260383989901099</v>
      </c>
    </row>
    <row r="69" spans="1:5" x14ac:dyDescent="0.35">
      <c r="A69" s="14">
        <v>68</v>
      </c>
      <c r="B69" s="90">
        <v>753824.44556226721</v>
      </c>
      <c r="C69" s="90">
        <v>210505.9698535559</v>
      </c>
      <c r="D69" s="90">
        <v>174804.35607350539</v>
      </c>
      <c r="E69" s="91">
        <v>0.34421708186655398</v>
      </c>
    </row>
    <row r="70" spans="1:5" x14ac:dyDescent="0.35">
      <c r="A70" s="14">
        <v>69</v>
      </c>
      <c r="B70" s="90">
        <v>770549.0407935204</v>
      </c>
      <c r="C70" s="90">
        <v>238014.13853785791</v>
      </c>
      <c r="D70" s="90">
        <v>136185.12454308115</v>
      </c>
      <c r="E70" s="91">
        <v>0.3940406412723394</v>
      </c>
    </row>
    <row r="71" spans="1:5" x14ac:dyDescent="0.35">
      <c r="A71" s="14">
        <v>70</v>
      </c>
      <c r="B71" s="90">
        <v>750099.78344268189</v>
      </c>
      <c r="C71" s="90">
        <v>300032.5207167464</v>
      </c>
      <c r="D71" s="90">
        <v>178763.53813575325</v>
      </c>
      <c r="E71" s="91">
        <v>1.015677518268649</v>
      </c>
    </row>
    <row r="72" spans="1:5" x14ac:dyDescent="0.35">
      <c r="A72" s="14">
        <v>71</v>
      </c>
      <c r="B72" s="90">
        <v>777858.09341618535</v>
      </c>
      <c r="C72" s="90">
        <v>270647.19398357032</v>
      </c>
      <c r="D72" s="90">
        <v>97598.643886464997</v>
      </c>
      <c r="E72" s="91">
        <v>0.8771603301259685</v>
      </c>
    </row>
    <row r="73" spans="1:5" x14ac:dyDescent="0.35">
      <c r="A73" s="14">
        <v>72</v>
      </c>
      <c r="B73" s="90">
        <v>844616.0186981553</v>
      </c>
      <c r="C73" s="90">
        <v>209719.60978016938</v>
      </c>
      <c r="D73" s="90">
        <v>144618.63934278171</v>
      </c>
      <c r="E73" s="91">
        <v>0.90059430976322719</v>
      </c>
    </row>
    <row r="74" spans="1:5" x14ac:dyDescent="0.35">
      <c r="A74" s="14">
        <v>73</v>
      </c>
      <c r="B74" s="90">
        <v>797062.46434865287</v>
      </c>
      <c r="C74" s="90">
        <v>236992.14745381812</v>
      </c>
      <c r="D74" s="90">
        <v>181765.31810008446</v>
      </c>
      <c r="E74" s="91">
        <v>0.44839184933666948</v>
      </c>
    </row>
    <row r="75" spans="1:5" x14ac:dyDescent="0.35">
      <c r="A75" s="14">
        <v>74</v>
      </c>
      <c r="B75" s="90">
        <v>761052.59322643676</v>
      </c>
      <c r="C75" s="90">
        <v>251008.55761771428</v>
      </c>
      <c r="D75" s="90">
        <v>164304.97806460387</v>
      </c>
      <c r="E75" s="91">
        <v>0.76721169187249993</v>
      </c>
    </row>
    <row r="76" spans="1:5" x14ac:dyDescent="0.35">
      <c r="A76" s="14">
        <v>75</v>
      </c>
      <c r="B76" s="90">
        <v>727380.58231387439</v>
      </c>
      <c r="C76" s="90">
        <v>266826.93753280956</v>
      </c>
      <c r="D76" s="90">
        <v>125283.32629549284</v>
      </c>
      <c r="E76" s="91">
        <v>0.66205284081022442</v>
      </c>
    </row>
    <row r="77" spans="1:5" x14ac:dyDescent="0.35">
      <c r="A77" s="14">
        <v>76</v>
      </c>
      <c r="B77" s="90">
        <v>793108.70357428235</v>
      </c>
      <c r="C77" s="90">
        <v>298265.05267062475</v>
      </c>
      <c r="D77" s="90">
        <v>175218.57322931872</v>
      </c>
      <c r="E77" s="91">
        <v>0.41193842262218722</v>
      </c>
    </row>
    <row r="78" spans="1:5" x14ac:dyDescent="0.35">
      <c r="A78" s="14">
        <v>77</v>
      </c>
      <c r="B78" s="90">
        <v>645757.98333921388</v>
      </c>
      <c r="C78" s="90">
        <v>269770.75857560261</v>
      </c>
      <c r="D78" s="90">
        <v>122807.48305644783</v>
      </c>
      <c r="E78" s="91">
        <v>0.385352331467326</v>
      </c>
    </row>
    <row r="79" spans="1:5" x14ac:dyDescent="0.35">
      <c r="A79" s="14">
        <v>78</v>
      </c>
      <c r="B79" s="90">
        <v>749313.23536349216</v>
      </c>
      <c r="C79" s="90">
        <v>210753.57806914888</v>
      </c>
      <c r="D79" s="90">
        <v>162318.74082960648</v>
      </c>
      <c r="E79" s="91">
        <v>0.54443611076355825</v>
      </c>
    </row>
    <row r="80" spans="1:5" x14ac:dyDescent="0.35">
      <c r="A80" s="14">
        <v>79</v>
      </c>
      <c r="B80" s="90">
        <v>763983.57711603446</v>
      </c>
      <c r="C80" s="90">
        <v>223336.46862477847</v>
      </c>
      <c r="D80" s="90">
        <v>148066.60542054049</v>
      </c>
      <c r="E80" s="91">
        <v>0.27579080245560011</v>
      </c>
    </row>
    <row r="81" spans="1:5" x14ac:dyDescent="0.35">
      <c r="A81" s="14">
        <v>80</v>
      </c>
      <c r="B81" s="90">
        <v>742659.33283054351</v>
      </c>
      <c r="C81" s="90">
        <v>248901.22657113761</v>
      </c>
      <c r="D81" s="90">
        <v>174621.66782548238</v>
      </c>
      <c r="E81" s="91">
        <v>1.4854456408862946</v>
      </c>
    </row>
    <row r="82" spans="1:5" x14ac:dyDescent="0.35">
      <c r="A82" s="14">
        <v>81</v>
      </c>
      <c r="B82" s="90">
        <v>662417.87392561883</v>
      </c>
      <c r="C82" s="90">
        <v>230730.48133684165</v>
      </c>
      <c r="D82" s="90">
        <v>157259.37460069865</v>
      </c>
      <c r="E82" s="91">
        <v>1.2237672023133834</v>
      </c>
    </row>
    <row r="83" spans="1:5" x14ac:dyDescent="0.35">
      <c r="A83" s="14">
        <v>82</v>
      </c>
      <c r="B83" s="90">
        <v>867270.55826245807</v>
      </c>
      <c r="C83" s="90">
        <v>227451.49180623289</v>
      </c>
      <c r="D83" s="90">
        <v>145205.55835590113</v>
      </c>
      <c r="E83" s="91">
        <v>0.2457453349532579</v>
      </c>
    </row>
    <row r="84" spans="1:5" x14ac:dyDescent="0.35">
      <c r="A84" s="14">
        <v>83</v>
      </c>
      <c r="B84" s="90">
        <v>770159.00351914286</v>
      </c>
      <c r="C84" s="90">
        <v>245240.19600118118</v>
      </c>
      <c r="D84" s="90">
        <v>142380.42734659178</v>
      </c>
      <c r="E84" s="91">
        <v>0.4680641607816759</v>
      </c>
    </row>
    <row r="85" spans="1:5" x14ac:dyDescent="0.35">
      <c r="A85" s="14">
        <v>84</v>
      </c>
      <c r="B85" s="90">
        <v>716491.83870842191</v>
      </c>
      <c r="C85" s="90">
        <v>230374.33461494895</v>
      </c>
      <c r="D85" s="90">
        <v>138213.87343475729</v>
      </c>
      <c r="E85" s="91">
        <v>0.67712023699004598</v>
      </c>
    </row>
    <row r="86" spans="1:5" x14ac:dyDescent="0.35">
      <c r="A86" s="14">
        <v>85</v>
      </c>
      <c r="B86" s="90">
        <v>609409.49795105937</v>
      </c>
      <c r="C86" s="90">
        <v>242200.05919046502</v>
      </c>
      <c r="D86" s="90">
        <v>140493.60031895249</v>
      </c>
      <c r="E86" s="91">
        <v>0.5970386306490425</v>
      </c>
    </row>
    <row r="87" spans="1:5" x14ac:dyDescent="0.35">
      <c r="A87" s="14">
        <v>86</v>
      </c>
      <c r="B87" s="90">
        <v>860437.13027976744</v>
      </c>
      <c r="C87" s="90">
        <v>316588.23485767271</v>
      </c>
      <c r="D87" s="90">
        <v>185665.96917001618</v>
      </c>
      <c r="E87" s="91">
        <v>0.3815816144005254</v>
      </c>
    </row>
    <row r="88" spans="1:5" x14ac:dyDescent="0.35">
      <c r="A88" s="14">
        <v>87</v>
      </c>
      <c r="B88" s="90">
        <v>560384.63267361594</v>
      </c>
      <c r="C88" s="90">
        <v>243581.8054144409</v>
      </c>
      <c r="D88" s="90">
        <v>150054.28452700103</v>
      </c>
      <c r="E88" s="91">
        <v>0.31755658109604851</v>
      </c>
    </row>
    <row r="89" spans="1:5" x14ac:dyDescent="0.35">
      <c r="A89" s="14">
        <v>88</v>
      </c>
      <c r="B89" s="90">
        <v>757418.56432793383</v>
      </c>
      <c r="C89" s="90">
        <v>255036.16270891705</v>
      </c>
      <c r="D89" s="90">
        <v>156467.04002051856</v>
      </c>
      <c r="E89" s="91">
        <v>0.28997022770456671</v>
      </c>
    </row>
    <row r="90" spans="1:5" x14ac:dyDescent="0.35">
      <c r="A90" s="14">
        <v>89</v>
      </c>
      <c r="B90" s="90">
        <v>827683.82820246869</v>
      </c>
      <c r="C90" s="90">
        <v>206590.09432453936</v>
      </c>
      <c r="D90" s="90">
        <v>137393.26068149059</v>
      </c>
      <c r="E90" s="91">
        <v>0.6192261966064303</v>
      </c>
    </row>
    <row r="91" spans="1:5" x14ac:dyDescent="0.35">
      <c r="A91" s="14">
        <v>90</v>
      </c>
      <c r="B91" s="90">
        <v>750025.91929729132</v>
      </c>
      <c r="C91" s="90">
        <v>283611.13401074649</v>
      </c>
      <c r="D91" s="90">
        <v>121145.27001014474</v>
      </c>
      <c r="E91" s="91">
        <v>0.52203929937325588</v>
      </c>
    </row>
    <row r="92" spans="1:5" x14ac:dyDescent="0.35">
      <c r="A92" s="14">
        <v>91</v>
      </c>
      <c r="B92" s="90">
        <v>752655.74525119585</v>
      </c>
      <c r="C92" s="90">
        <v>281182.94909797254</v>
      </c>
      <c r="D92" s="90">
        <v>151877.60047363996</v>
      </c>
      <c r="E92" s="91">
        <v>0.49775644059287999</v>
      </c>
    </row>
    <row r="93" spans="1:5" x14ac:dyDescent="0.35">
      <c r="A93" s="14">
        <v>92</v>
      </c>
      <c r="B93" s="90">
        <v>800114.89348499884</v>
      </c>
      <c r="C93" s="90">
        <v>205573.79579733437</v>
      </c>
      <c r="D93" s="90">
        <v>166127.09001066696</v>
      </c>
      <c r="E93" s="91">
        <v>0.316867836041337</v>
      </c>
    </row>
    <row r="94" spans="1:5" x14ac:dyDescent="0.35">
      <c r="A94" s="14">
        <v>93</v>
      </c>
      <c r="B94" s="90">
        <v>728936.38904512301</v>
      </c>
      <c r="C94" s="90">
        <v>238498.160585854</v>
      </c>
      <c r="D94" s="90">
        <v>154033.43645142991</v>
      </c>
      <c r="E94" s="91">
        <v>0.29273308465823072</v>
      </c>
    </row>
    <row r="95" spans="1:5" x14ac:dyDescent="0.35">
      <c r="A95" s="14">
        <v>94</v>
      </c>
      <c r="B95" s="90">
        <v>858924.18289195653</v>
      </c>
      <c r="C95" s="90">
        <v>254558.75626560004</v>
      </c>
      <c r="D95" s="90">
        <v>172979.77411951564</v>
      </c>
      <c r="E95" s="91">
        <v>0.79351809459147737</v>
      </c>
    </row>
    <row r="96" spans="1:5" x14ac:dyDescent="0.35">
      <c r="A96" s="14">
        <v>95</v>
      </c>
      <c r="B96" s="90">
        <v>674202.21145513095</v>
      </c>
      <c r="C96" s="90">
        <v>256815.39451911094</v>
      </c>
      <c r="D96" s="90">
        <v>148452.93319446268</v>
      </c>
      <c r="E96" s="91">
        <v>0.7789195097920748</v>
      </c>
    </row>
    <row r="97" spans="1:5" x14ac:dyDescent="0.35">
      <c r="A97" s="14">
        <v>96</v>
      </c>
      <c r="B97" s="90">
        <v>796318.34367437335</v>
      </c>
      <c r="C97" s="90">
        <v>219250.65252100345</v>
      </c>
      <c r="D97" s="90">
        <v>136083.50871386784</v>
      </c>
      <c r="E97" s="91">
        <v>0.24805011972245522</v>
      </c>
    </row>
    <row r="98" spans="1:5" x14ac:dyDescent="0.35">
      <c r="A98" s="14">
        <v>97</v>
      </c>
      <c r="B98" s="90">
        <v>742360.01137510303</v>
      </c>
      <c r="C98" s="90">
        <v>275366.06231956556</v>
      </c>
      <c r="D98" s="90">
        <v>133798.26155931992</v>
      </c>
      <c r="E98" s="91">
        <v>0.30473347024921482</v>
      </c>
    </row>
    <row r="99" spans="1:5" x14ac:dyDescent="0.35">
      <c r="A99" s="14">
        <v>98</v>
      </c>
      <c r="B99" s="90">
        <v>635990.78986489272</v>
      </c>
      <c r="C99" s="90">
        <v>280112.11476990639</v>
      </c>
      <c r="D99" s="90">
        <v>155126.18602446755</v>
      </c>
      <c r="E99" s="91">
        <v>0.33755907541411173</v>
      </c>
    </row>
    <row r="100" spans="1:5" x14ac:dyDescent="0.35">
      <c r="A100" s="14">
        <v>99</v>
      </c>
      <c r="B100" s="90">
        <v>709534.39319942053</v>
      </c>
      <c r="C100" s="90">
        <v>227778.52638795876</v>
      </c>
      <c r="D100" s="90">
        <v>155185.32406273647</v>
      </c>
      <c r="E100" s="91">
        <v>2.355177400231645</v>
      </c>
    </row>
    <row r="101" spans="1:5" x14ac:dyDescent="0.35">
      <c r="A101" s="14">
        <v>100</v>
      </c>
      <c r="B101" s="90">
        <v>683486.15318632917</v>
      </c>
      <c r="C101" s="90">
        <v>240226.90729315573</v>
      </c>
      <c r="D101" s="90">
        <v>184465.97063417707</v>
      </c>
      <c r="E101" s="91">
        <v>0.38467674670638197</v>
      </c>
    </row>
    <row r="102" spans="1:5" x14ac:dyDescent="0.35">
      <c r="A102" s="14">
        <v>101</v>
      </c>
      <c r="B102" s="90">
        <v>827559.09167732438</v>
      </c>
      <c r="C102" s="90">
        <v>270546.32757147285</v>
      </c>
      <c r="D102" s="90">
        <v>151649.39099488858</v>
      </c>
      <c r="E102" s="91">
        <v>0.38737893704072807</v>
      </c>
    </row>
    <row r="103" spans="1:5" x14ac:dyDescent="0.35">
      <c r="A103" s="14">
        <v>102</v>
      </c>
      <c r="B103" s="90">
        <v>833975.21347857197</v>
      </c>
      <c r="C103" s="90">
        <v>284493.36192020332</v>
      </c>
      <c r="D103" s="90">
        <v>154787.09657589029</v>
      </c>
      <c r="E103" s="91">
        <v>0.44010729874577148</v>
      </c>
    </row>
    <row r="104" spans="1:5" x14ac:dyDescent="0.35">
      <c r="A104" s="14">
        <v>103</v>
      </c>
      <c r="B104" s="90">
        <v>780465.60936137324</v>
      </c>
      <c r="C104" s="90">
        <v>255784.37156849907</v>
      </c>
      <c r="D104" s="90">
        <v>145656.73503530415</v>
      </c>
      <c r="E104" s="91">
        <v>0.48881667163507769</v>
      </c>
    </row>
    <row r="105" spans="1:5" x14ac:dyDescent="0.35">
      <c r="A105" s="14">
        <v>104</v>
      </c>
      <c r="B105" s="90">
        <v>725651.50757030142</v>
      </c>
      <c r="C105" s="90">
        <v>256079.94666629771</v>
      </c>
      <c r="D105" s="90">
        <v>160590.01266934705</v>
      </c>
      <c r="E105" s="91">
        <v>0.53324542263622376</v>
      </c>
    </row>
    <row r="106" spans="1:5" x14ac:dyDescent="0.35">
      <c r="A106" s="14">
        <v>105</v>
      </c>
      <c r="B106" s="90">
        <v>660697.96849927085</v>
      </c>
      <c r="C106" s="90">
        <v>289248.56362614094</v>
      </c>
      <c r="D106" s="90">
        <v>155571.18620375427</v>
      </c>
      <c r="E106" s="91">
        <v>0.53128736031862389</v>
      </c>
    </row>
    <row r="107" spans="1:5" x14ac:dyDescent="0.35">
      <c r="A107" s="14">
        <v>106</v>
      </c>
      <c r="B107" s="90">
        <v>808301.67680146359</v>
      </c>
      <c r="C107" s="90">
        <v>228264.71987543075</v>
      </c>
      <c r="D107" s="90">
        <v>146878.77990591392</v>
      </c>
      <c r="E107" s="91">
        <v>0.97033353449999182</v>
      </c>
    </row>
    <row r="108" spans="1:5" x14ac:dyDescent="0.35">
      <c r="A108" s="14">
        <v>107</v>
      </c>
      <c r="B108" s="90">
        <v>833530.54576198838</v>
      </c>
      <c r="C108" s="90">
        <v>229321.70216837921</v>
      </c>
      <c r="D108" s="90">
        <v>158354.10806925551</v>
      </c>
      <c r="E108" s="91">
        <v>0.34815399807927944</v>
      </c>
    </row>
    <row r="109" spans="1:5" x14ac:dyDescent="0.35">
      <c r="A109" s="14">
        <v>108</v>
      </c>
      <c r="B109" s="90">
        <v>613890.89682611334</v>
      </c>
      <c r="C109" s="90">
        <v>331822.02772862813</v>
      </c>
      <c r="D109" s="90">
        <v>177730.62223209289</v>
      </c>
      <c r="E109" s="91">
        <v>0.26628071640701356</v>
      </c>
    </row>
    <row r="110" spans="1:5" x14ac:dyDescent="0.35">
      <c r="A110" s="14">
        <v>109</v>
      </c>
      <c r="B110" s="90">
        <v>950691.19335453876</v>
      </c>
      <c r="C110" s="90">
        <v>292780.02608037204</v>
      </c>
      <c r="D110" s="90">
        <v>140471.57608591788</v>
      </c>
      <c r="E110" s="91">
        <v>0.23764443163582652</v>
      </c>
    </row>
    <row r="111" spans="1:5" x14ac:dyDescent="0.35">
      <c r="A111" s="14">
        <v>110</v>
      </c>
      <c r="B111" s="90">
        <v>910554.51227581908</v>
      </c>
      <c r="C111" s="90">
        <v>265714.53423599835</v>
      </c>
      <c r="D111" s="90">
        <v>145402.88986619233</v>
      </c>
      <c r="E111" s="91">
        <v>0.21302880216417225</v>
      </c>
    </row>
    <row r="112" spans="1:5" x14ac:dyDescent="0.35">
      <c r="A112" s="14">
        <v>111</v>
      </c>
      <c r="B112" s="90">
        <v>590356.97009246843</v>
      </c>
      <c r="C112" s="90">
        <v>238573.58747398568</v>
      </c>
      <c r="D112" s="90">
        <v>136842.4464961029</v>
      </c>
      <c r="E112" s="91">
        <v>0.61027069566666015</v>
      </c>
    </row>
    <row r="113" spans="1:5" x14ac:dyDescent="0.35">
      <c r="A113" s="14">
        <v>112</v>
      </c>
      <c r="B113" s="90">
        <v>675745.06223288318</v>
      </c>
      <c r="C113" s="90">
        <v>241886.66260989581</v>
      </c>
      <c r="D113" s="90">
        <v>166274.73808714497</v>
      </c>
      <c r="E113" s="91">
        <v>0.70323807907284752</v>
      </c>
    </row>
    <row r="114" spans="1:5" x14ac:dyDescent="0.35">
      <c r="A114" s="14">
        <v>113</v>
      </c>
      <c r="B114" s="90">
        <v>791261.45418636338</v>
      </c>
      <c r="C114" s="90">
        <v>239722.44838929165</v>
      </c>
      <c r="D114" s="90">
        <v>180508.30550704204</v>
      </c>
      <c r="E114" s="91">
        <v>0.75043169744830429</v>
      </c>
    </row>
    <row r="115" spans="1:5" x14ac:dyDescent="0.35">
      <c r="A115" s="14">
        <v>114</v>
      </c>
      <c r="B115" s="90">
        <v>626181.57026502071</v>
      </c>
      <c r="C115" s="90">
        <v>219911.32342191949</v>
      </c>
      <c r="D115" s="90">
        <v>168660.59039031473</v>
      </c>
      <c r="E115" s="91">
        <v>0.66717868560019755</v>
      </c>
    </row>
    <row r="116" spans="1:5" x14ac:dyDescent="0.35">
      <c r="A116" s="14">
        <v>115</v>
      </c>
      <c r="B116" s="90">
        <v>794300.18441517488</v>
      </c>
      <c r="C116" s="90">
        <v>204552.32195097397</v>
      </c>
      <c r="D116" s="90">
        <v>138882.08682608927</v>
      </c>
      <c r="E116" s="91">
        <v>0.23119794502949492</v>
      </c>
    </row>
    <row r="117" spans="1:5" x14ac:dyDescent="0.35">
      <c r="A117" s="14">
        <v>116</v>
      </c>
      <c r="B117" s="90">
        <v>654625.66941291548</v>
      </c>
      <c r="C117" s="90">
        <v>264464.15660304547</v>
      </c>
      <c r="D117" s="90">
        <v>149051.29248550019</v>
      </c>
      <c r="E117" s="91">
        <v>0.40664168142245805</v>
      </c>
    </row>
    <row r="118" spans="1:5" x14ac:dyDescent="0.35">
      <c r="A118" s="14">
        <v>117</v>
      </c>
      <c r="B118" s="90">
        <v>571796.41063411464</v>
      </c>
      <c r="C118" s="90">
        <v>310792.59358784085</v>
      </c>
      <c r="D118" s="90">
        <v>137567.00056137022</v>
      </c>
      <c r="E118" s="91">
        <v>0.27233286706452353</v>
      </c>
    </row>
    <row r="119" spans="1:5" x14ac:dyDescent="0.35">
      <c r="A119" s="14">
        <v>118</v>
      </c>
      <c r="B119" s="90">
        <v>793210.08488368336</v>
      </c>
      <c r="C119" s="90">
        <v>226531.65837833253</v>
      </c>
      <c r="D119" s="90">
        <v>143707.56279839677</v>
      </c>
      <c r="E119" s="91">
        <v>0.31547203166234039</v>
      </c>
    </row>
    <row r="120" spans="1:5" x14ac:dyDescent="0.35">
      <c r="A120" s="14">
        <v>119</v>
      </c>
      <c r="B120" s="90">
        <v>812928.3780561462</v>
      </c>
      <c r="C120" s="90">
        <v>239091.03679218693</v>
      </c>
      <c r="D120" s="90">
        <v>174516.93609822373</v>
      </c>
      <c r="E120" s="91">
        <v>0.26432144298857535</v>
      </c>
    </row>
    <row r="121" spans="1:5" x14ac:dyDescent="0.35">
      <c r="A121" s="14">
        <v>120</v>
      </c>
      <c r="B121" s="90">
        <v>710998.04832307273</v>
      </c>
      <c r="C121" s="90">
        <v>220543.91004639427</v>
      </c>
      <c r="D121" s="90">
        <v>141189.97271832643</v>
      </c>
      <c r="E121" s="91">
        <v>0.65308451360351139</v>
      </c>
    </row>
    <row r="122" spans="1:5" x14ac:dyDescent="0.35">
      <c r="A122" s="14">
        <v>121</v>
      </c>
      <c r="B122" s="90">
        <v>909378.58997842693</v>
      </c>
      <c r="C122" s="90">
        <v>225099.6673375089</v>
      </c>
      <c r="D122" s="90">
        <v>157741.58035052734</v>
      </c>
      <c r="E122" s="91">
        <v>0.29106876978160201</v>
      </c>
    </row>
    <row r="123" spans="1:5" x14ac:dyDescent="0.35">
      <c r="A123" s="14">
        <v>122</v>
      </c>
      <c r="B123" s="90">
        <v>708426.84823031747</v>
      </c>
      <c r="C123" s="90">
        <v>223796.84296037332</v>
      </c>
      <c r="D123" s="90">
        <v>152285.32092004229</v>
      </c>
      <c r="E123" s="91">
        <v>0.341999076758293</v>
      </c>
    </row>
    <row r="124" spans="1:5" x14ac:dyDescent="0.35">
      <c r="A124" s="14">
        <v>123</v>
      </c>
      <c r="B124" s="90">
        <v>781828.30140610365</v>
      </c>
      <c r="C124" s="90">
        <v>291220.9858260043</v>
      </c>
      <c r="D124" s="90">
        <v>127851.95236901715</v>
      </c>
      <c r="E124" s="91">
        <v>0.44145851088933458</v>
      </c>
    </row>
    <row r="125" spans="1:5" x14ac:dyDescent="0.35">
      <c r="A125" s="14">
        <v>124</v>
      </c>
      <c r="B125" s="90">
        <v>950297.61334674736</v>
      </c>
      <c r="C125" s="90">
        <v>233423.267801095</v>
      </c>
      <c r="D125" s="90">
        <v>152304.5470919057</v>
      </c>
      <c r="E125" s="91">
        <v>0.93395417411229453</v>
      </c>
    </row>
    <row r="126" spans="1:5" x14ac:dyDescent="0.35">
      <c r="A126" s="14">
        <v>125</v>
      </c>
      <c r="B126" s="90">
        <v>765879.26292194915</v>
      </c>
      <c r="C126" s="90">
        <v>284559.09065639391</v>
      </c>
      <c r="D126" s="90">
        <v>145217.79228871554</v>
      </c>
      <c r="E126" s="91">
        <v>0.52628675233159061</v>
      </c>
    </row>
    <row r="127" spans="1:5" x14ac:dyDescent="0.35">
      <c r="A127" s="14">
        <v>126</v>
      </c>
      <c r="B127" s="90">
        <v>709867.0654431968</v>
      </c>
      <c r="C127" s="90">
        <v>228704.76515753602</v>
      </c>
      <c r="D127" s="90">
        <v>140175.41047565019</v>
      </c>
      <c r="E127" s="91">
        <v>0.69063600884798892</v>
      </c>
    </row>
    <row r="128" spans="1:5" x14ac:dyDescent="0.35">
      <c r="A128" s="14">
        <v>127</v>
      </c>
      <c r="B128" s="90">
        <v>864919.93627292954</v>
      </c>
      <c r="C128" s="90">
        <v>294336.31911172823</v>
      </c>
      <c r="D128" s="90">
        <v>173744.84237812471</v>
      </c>
      <c r="E128" s="91">
        <v>0.4636751873308374</v>
      </c>
    </row>
    <row r="129" spans="1:5" x14ac:dyDescent="0.35">
      <c r="A129" s="14">
        <v>128</v>
      </c>
      <c r="B129" s="90">
        <v>789658.79094467848</v>
      </c>
      <c r="C129" s="90">
        <v>258357.91837553581</v>
      </c>
      <c r="D129" s="90">
        <v>164422.21897520745</v>
      </c>
      <c r="E129" s="91">
        <v>0.44218880439905106</v>
      </c>
    </row>
    <row r="130" spans="1:5" x14ac:dyDescent="0.35">
      <c r="A130" s="14">
        <v>129</v>
      </c>
      <c r="B130" s="90">
        <v>583198.57601517637</v>
      </c>
      <c r="C130" s="90">
        <v>249823.22457495681</v>
      </c>
      <c r="D130" s="90">
        <v>117902.36538040102</v>
      </c>
      <c r="E130" s="91">
        <v>0.30595932817616167</v>
      </c>
    </row>
    <row r="131" spans="1:5" x14ac:dyDescent="0.35">
      <c r="A131" s="14">
        <v>130</v>
      </c>
      <c r="B131" s="90">
        <v>636462.77389497682</v>
      </c>
      <c r="C131" s="90">
        <v>269684.22543221223</v>
      </c>
      <c r="D131" s="90">
        <v>157953.37786255701</v>
      </c>
      <c r="E131" s="91">
        <v>0.55274435894234819</v>
      </c>
    </row>
    <row r="132" spans="1:5" x14ac:dyDescent="0.35">
      <c r="A132" s="14">
        <v>131</v>
      </c>
      <c r="B132" s="90">
        <v>733184.57552794996</v>
      </c>
      <c r="C132" s="90">
        <v>266031.77238279738</v>
      </c>
      <c r="D132" s="90">
        <v>142792.5170566735</v>
      </c>
      <c r="E132" s="91">
        <v>0.95196490456260452</v>
      </c>
    </row>
    <row r="133" spans="1:5" x14ac:dyDescent="0.35">
      <c r="A133" s="14">
        <v>132</v>
      </c>
      <c r="B133" s="90">
        <v>513087.76921229181</v>
      </c>
      <c r="C133" s="90">
        <v>312338.06222380418</v>
      </c>
      <c r="D133" s="90">
        <v>142339.91306627568</v>
      </c>
      <c r="E133" s="91">
        <v>0.30113477939947553</v>
      </c>
    </row>
    <row r="134" spans="1:5" x14ac:dyDescent="0.35">
      <c r="A134" s="14">
        <v>133</v>
      </c>
      <c r="B134" s="90">
        <v>850536.25936408166</v>
      </c>
      <c r="C134" s="90">
        <v>322440.70655383146</v>
      </c>
      <c r="D134" s="90">
        <v>148253.98682537643</v>
      </c>
      <c r="E134" s="91">
        <v>0.60342615444682512</v>
      </c>
    </row>
    <row r="135" spans="1:5" x14ac:dyDescent="0.35">
      <c r="A135" s="14">
        <v>134</v>
      </c>
      <c r="B135" s="90">
        <v>872331.50530914566</v>
      </c>
      <c r="C135" s="90">
        <v>245151.81357277214</v>
      </c>
      <c r="D135" s="90">
        <v>133492.86183894577</v>
      </c>
      <c r="E135" s="91">
        <v>0.54870037287018547</v>
      </c>
    </row>
    <row r="136" spans="1:5" x14ac:dyDescent="0.35">
      <c r="A136" s="14">
        <v>135</v>
      </c>
      <c r="B136" s="90">
        <v>713953.36786021083</v>
      </c>
      <c r="C136" s="90">
        <v>264513.68997340591</v>
      </c>
      <c r="D136" s="90">
        <v>147704.19139224404</v>
      </c>
      <c r="E136" s="91">
        <v>0.66637746151602151</v>
      </c>
    </row>
    <row r="137" spans="1:5" x14ac:dyDescent="0.35">
      <c r="A137" s="14">
        <v>136</v>
      </c>
      <c r="B137" s="90">
        <v>916201.53158106131</v>
      </c>
      <c r="C137" s="90">
        <v>276986.86963771743</v>
      </c>
      <c r="D137" s="90">
        <v>144301.08608203553</v>
      </c>
      <c r="E137" s="91">
        <v>1.0445454259575899</v>
      </c>
    </row>
    <row r="138" spans="1:5" x14ac:dyDescent="0.35">
      <c r="A138" s="14">
        <v>137</v>
      </c>
      <c r="B138" s="90">
        <v>666671.92619494791</v>
      </c>
      <c r="C138" s="90">
        <v>277768.12356233416</v>
      </c>
      <c r="D138" s="90">
        <v>132269.46635585904</v>
      </c>
      <c r="E138" s="91">
        <v>0.59091760087686196</v>
      </c>
    </row>
    <row r="139" spans="1:5" x14ac:dyDescent="0.35">
      <c r="A139" s="14">
        <v>138</v>
      </c>
      <c r="B139" s="90">
        <v>852721.39680751599</v>
      </c>
      <c r="C139" s="90">
        <v>277295.88028227462</v>
      </c>
      <c r="D139" s="90">
        <v>127711.90284830835</v>
      </c>
      <c r="E139" s="91">
        <v>0.47450999939580513</v>
      </c>
    </row>
    <row r="140" spans="1:5" x14ac:dyDescent="0.35">
      <c r="A140" s="14">
        <v>139</v>
      </c>
      <c r="B140" s="90">
        <v>702293.89295085438</v>
      </c>
      <c r="C140" s="90">
        <v>233509.20089942671</v>
      </c>
      <c r="D140" s="90">
        <v>136669.31475387924</v>
      </c>
      <c r="E140" s="91">
        <v>0.58077247134773169</v>
      </c>
    </row>
    <row r="141" spans="1:5" x14ac:dyDescent="0.35">
      <c r="A141" s="14">
        <v>140</v>
      </c>
      <c r="B141" s="90">
        <v>636283.26259050611</v>
      </c>
      <c r="C141" s="90">
        <v>227462.70762478409</v>
      </c>
      <c r="D141" s="90">
        <v>118255.73478078547</v>
      </c>
      <c r="E141" s="91">
        <v>0.33216060605356634</v>
      </c>
    </row>
    <row r="142" spans="1:5" x14ac:dyDescent="0.35">
      <c r="A142" s="14">
        <v>141</v>
      </c>
      <c r="B142" s="90">
        <v>854779.14117476833</v>
      </c>
      <c r="C142" s="90">
        <v>280416.94336012116</v>
      </c>
      <c r="D142" s="90">
        <v>135777.09330574822</v>
      </c>
      <c r="E142" s="91">
        <v>0.55768339403167655</v>
      </c>
    </row>
    <row r="143" spans="1:5" x14ac:dyDescent="0.35">
      <c r="A143" s="14">
        <v>142</v>
      </c>
      <c r="B143" s="90">
        <v>907084.92787879403</v>
      </c>
      <c r="C143" s="90">
        <v>301593.83637631591</v>
      </c>
      <c r="D143" s="90">
        <v>153984.21932672453</v>
      </c>
      <c r="E143" s="91">
        <v>0.81948862965112568</v>
      </c>
    </row>
    <row r="144" spans="1:5" x14ac:dyDescent="0.35">
      <c r="A144" s="14">
        <v>143</v>
      </c>
      <c r="B144" s="90">
        <v>656722.03211037628</v>
      </c>
      <c r="C144" s="90">
        <v>246603.2613344097</v>
      </c>
      <c r="D144" s="90">
        <v>121164.20622866537</v>
      </c>
      <c r="E144" s="91">
        <v>0.53728683746410477</v>
      </c>
    </row>
    <row r="145" spans="1:5" x14ac:dyDescent="0.35">
      <c r="A145" s="14">
        <v>144</v>
      </c>
      <c r="B145" s="90">
        <v>819500.7777214935</v>
      </c>
      <c r="C145" s="90">
        <v>263865.01445954188</v>
      </c>
      <c r="D145" s="90">
        <v>166674.46107320266</v>
      </c>
      <c r="E145" s="91">
        <v>0.26532542782546975</v>
      </c>
    </row>
    <row r="146" spans="1:5" x14ac:dyDescent="0.35">
      <c r="A146" s="14">
        <v>145</v>
      </c>
      <c r="B146" s="90">
        <v>638849.09185033187</v>
      </c>
      <c r="C146" s="90">
        <v>249423.71413281202</v>
      </c>
      <c r="D146" s="90">
        <v>116043.59994128127</v>
      </c>
      <c r="E146" s="91">
        <v>1.3052606155496864</v>
      </c>
    </row>
    <row r="147" spans="1:5" x14ac:dyDescent="0.35">
      <c r="A147" s="14">
        <v>146</v>
      </c>
      <c r="B147" s="90">
        <v>805042.9646285671</v>
      </c>
      <c r="C147" s="90">
        <v>309404.02128326683</v>
      </c>
      <c r="D147" s="90">
        <v>144124.99972038815</v>
      </c>
      <c r="E147" s="91">
        <v>0.60654075885900194</v>
      </c>
    </row>
    <row r="148" spans="1:5" x14ac:dyDescent="0.35">
      <c r="A148" s="14">
        <v>147</v>
      </c>
      <c r="B148" s="90">
        <v>838043.27485901071</v>
      </c>
      <c r="C148" s="90">
        <v>285223.860724158</v>
      </c>
      <c r="D148" s="90">
        <v>208832.54177023351</v>
      </c>
      <c r="E148" s="91">
        <v>0.46862556019286705</v>
      </c>
    </row>
    <row r="149" spans="1:5" x14ac:dyDescent="0.35">
      <c r="A149" s="14">
        <v>148</v>
      </c>
      <c r="B149" s="90">
        <v>799941.62973392673</v>
      </c>
      <c r="C149" s="90">
        <v>220917.61593268288</v>
      </c>
      <c r="D149" s="90">
        <v>135042.11085212626</v>
      </c>
      <c r="E149" s="91">
        <v>0.64603229855182809</v>
      </c>
    </row>
    <row r="150" spans="1:5" x14ac:dyDescent="0.35">
      <c r="A150" s="14">
        <v>149</v>
      </c>
      <c r="B150" s="90">
        <v>918819.00851915404</v>
      </c>
      <c r="C150" s="90">
        <v>248536.58466833454</v>
      </c>
      <c r="D150" s="90">
        <v>137183.13253692782</v>
      </c>
      <c r="E150" s="91">
        <v>0.48451015817165627</v>
      </c>
    </row>
    <row r="151" spans="1:5" x14ac:dyDescent="0.35">
      <c r="A151" s="14">
        <v>150</v>
      </c>
      <c r="B151" s="90">
        <v>503141.17238854826</v>
      </c>
      <c r="C151" s="90">
        <v>242615.16436902972</v>
      </c>
      <c r="D151" s="90">
        <v>181308.87401751266</v>
      </c>
      <c r="E151" s="91">
        <v>0.25341676706866517</v>
      </c>
    </row>
  </sheetData>
  <conditionalFormatting sqref="B2:E2">
    <cfRule type="expression" dxfId="8" priority="1" stopIfTrue="1">
      <formula>RiskColorCellsSimOutput</formula>
    </cfRule>
    <cfRule type="expression" dxfId="7" priority="2" stopIfTrue="1">
      <formula>RiskColorCellsSimInput</formula>
    </cfRule>
    <cfRule type="expression" dxfId="6" priority="3" stopIfTrue="1">
      <formula>RiskColorCellsSimStatistics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2"/>
  <sheetViews>
    <sheetView zoomScale="110" zoomScaleNormal="110" workbookViewId="0"/>
  </sheetViews>
  <sheetFormatPr defaultRowHeight="14.5" x14ac:dyDescent="0.35"/>
  <cols>
    <col min="1" max="4" width="24.453125" customWidth="1"/>
    <col min="6" max="9" width="24.453125" customWidth="1"/>
  </cols>
  <sheetData>
    <row r="1" spans="1:4" x14ac:dyDescent="0.35">
      <c r="A1" s="10" t="s">
        <v>4</v>
      </c>
      <c r="B1" s="13" t="s">
        <v>10</v>
      </c>
      <c r="C1" s="13" t="s">
        <v>12</v>
      </c>
      <c r="D1" s="11" t="s">
        <v>11</v>
      </c>
    </row>
    <row r="2" spans="1:4" x14ac:dyDescent="0.35">
      <c r="A2" s="14">
        <v>-50</v>
      </c>
      <c r="B2" s="15">
        <v>37937.5</v>
      </c>
      <c r="C2" s="16">
        <v>5.0262827333176974</v>
      </c>
      <c r="D2" s="17">
        <v>19.373243073558548</v>
      </c>
    </row>
    <row r="3" spans="1:4" x14ac:dyDescent="0.35">
      <c r="A3" s="14">
        <f>A2+1</f>
        <v>-49</v>
      </c>
      <c r="B3" s="15">
        <v>40064.716982625112</v>
      </c>
      <c r="C3" s="16">
        <v>5.8639566830819581</v>
      </c>
      <c r="D3" s="17">
        <v>20.467296150039527</v>
      </c>
    </row>
    <row r="4" spans="1:4" x14ac:dyDescent="0.35">
      <c r="A4" s="14">
        <f t="shared" ref="A4:A52" si="0">A3+1</f>
        <v>-48</v>
      </c>
      <c r="B4" s="15">
        <v>45175.967365061137</v>
      </c>
      <c r="C4" s="16">
        <v>8.4393782723235624</v>
      </c>
      <c r="D4" s="17">
        <v>18.010684534134199</v>
      </c>
    </row>
    <row r="5" spans="1:4" x14ac:dyDescent="0.35">
      <c r="A5" s="14">
        <f t="shared" si="0"/>
        <v>-47</v>
      </c>
      <c r="B5" s="15">
        <v>38493.244562025495</v>
      </c>
      <c r="C5" s="16">
        <v>12.573525598329443</v>
      </c>
      <c r="D5" s="17">
        <v>17.624392915815289</v>
      </c>
    </row>
    <row r="6" spans="1:4" x14ac:dyDescent="0.35">
      <c r="A6" s="14">
        <f t="shared" si="0"/>
        <v>-46</v>
      </c>
      <c r="B6" s="15">
        <v>35703.743286812365</v>
      </c>
      <c r="C6" s="16">
        <v>10.86137527313025</v>
      </c>
      <c r="D6" s="17">
        <v>17.374597055499439</v>
      </c>
    </row>
    <row r="7" spans="1:4" x14ac:dyDescent="0.35">
      <c r="A7" s="14">
        <f t="shared" si="0"/>
        <v>-45</v>
      </c>
      <c r="B7" s="15">
        <v>37316.804653663683</v>
      </c>
      <c r="C7" s="16">
        <v>7.1599533430983486</v>
      </c>
      <c r="D7" s="17">
        <v>15.364964576962466</v>
      </c>
    </row>
    <row r="8" spans="1:4" x14ac:dyDescent="0.35">
      <c r="A8" s="14">
        <f t="shared" si="0"/>
        <v>-44</v>
      </c>
      <c r="B8" s="15">
        <v>41420.464710366512</v>
      </c>
      <c r="C8" s="16">
        <v>5.180675590901747</v>
      </c>
      <c r="D8" s="17">
        <v>16.258396718238906</v>
      </c>
    </row>
    <row r="9" spans="1:4" x14ac:dyDescent="0.35">
      <c r="A9" s="14">
        <f t="shared" si="0"/>
        <v>-43</v>
      </c>
      <c r="B9" s="15">
        <v>45961.421702621592</v>
      </c>
      <c r="C9" s="16">
        <v>5.0702541753647505</v>
      </c>
      <c r="D9" s="17">
        <v>15.908455974901329</v>
      </c>
    </row>
    <row r="10" spans="1:4" x14ac:dyDescent="0.35">
      <c r="A10" s="14">
        <f t="shared" si="0"/>
        <v>-42</v>
      </c>
      <c r="B10" s="15">
        <v>36316.146424307983</v>
      </c>
      <c r="C10" s="16">
        <v>5.2378248314687612</v>
      </c>
      <c r="D10" s="17">
        <v>15.739951832081909</v>
      </c>
    </row>
    <row r="11" spans="1:4" x14ac:dyDescent="0.35">
      <c r="A11" s="14">
        <f t="shared" si="0"/>
        <v>-41</v>
      </c>
      <c r="B11" s="15">
        <v>43360.407660354933</v>
      </c>
      <c r="C11" s="16">
        <v>5.4034534457027732</v>
      </c>
      <c r="D11" s="17">
        <v>15.827929260986634</v>
      </c>
    </row>
    <row r="12" spans="1:4" x14ac:dyDescent="0.35">
      <c r="A12" s="14">
        <f t="shared" si="0"/>
        <v>-40</v>
      </c>
      <c r="B12" s="15">
        <v>43956.638768544683</v>
      </c>
      <c r="C12" s="16">
        <v>5.5364581072296168</v>
      </c>
      <c r="D12" s="17">
        <v>15.638734213481181</v>
      </c>
    </row>
    <row r="13" spans="1:4" x14ac:dyDescent="0.35">
      <c r="A13" s="14">
        <f t="shared" si="0"/>
        <v>-39</v>
      </c>
      <c r="B13" s="15">
        <v>42586.035519561403</v>
      </c>
      <c r="C13" s="16">
        <v>4.7483560951583073</v>
      </c>
      <c r="D13" s="17">
        <v>18.305538552655872</v>
      </c>
    </row>
    <row r="14" spans="1:4" x14ac:dyDescent="0.35">
      <c r="A14" s="14">
        <f t="shared" si="0"/>
        <v>-38</v>
      </c>
      <c r="B14" s="15">
        <v>36320.746647205357</v>
      </c>
      <c r="C14" s="16">
        <v>4.851208583773154</v>
      </c>
      <c r="D14" s="17">
        <v>16.57637679579511</v>
      </c>
    </row>
    <row r="15" spans="1:4" x14ac:dyDescent="0.35">
      <c r="A15" s="14">
        <f t="shared" si="0"/>
        <v>-37</v>
      </c>
      <c r="B15" s="15">
        <v>42794.878325660349</v>
      </c>
      <c r="C15" s="16">
        <v>6.1953240527039846</v>
      </c>
      <c r="D15" s="17">
        <v>14.857438592919751</v>
      </c>
    </row>
    <row r="16" spans="1:4" x14ac:dyDescent="0.35">
      <c r="A16" s="14">
        <f t="shared" si="0"/>
        <v>-36</v>
      </c>
      <c r="B16" s="15">
        <v>45754.781872158725</v>
      </c>
      <c r="C16" s="16">
        <v>7.8814385212046743</v>
      </c>
      <c r="D16" s="17">
        <v>14.883259016821919</v>
      </c>
    </row>
    <row r="17" spans="1:9" x14ac:dyDescent="0.35">
      <c r="A17" s="14">
        <f t="shared" si="0"/>
        <v>-35</v>
      </c>
      <c r="B17" s="15">
        <v>40187.040509458442</v>
      </c>
      <c r="C17" s="16">
        <v>11.271408335525152</v>
      </c>
      <c r="D17" s="17">
        <v>15.703437410887792</v>
      </c>
    </row>
    <row r="18" spans="1:9" ht="15" thickBot="1" x14ac:dyDescent="0.4">
      <c r="A18" s="14">
        <f t="shared" si="0"/>
        <v>-34</v>
      </c>
      <c r="B18" s="15">
        <v>36666.47599004479</v>
      </c>
      <c r="C18" s="16">
        <v>9.7091582975212063</v>
      </c>
      <c r="D18" s="17">
        <v>13.509243415026434</v>
      </c>
    </row>
    <row r="19" spans="1:9" ht="15" thickBot="1" x14ac:dyDescent="0.4">
      <c r="A19" s="14">
        <f t="shared" si="0"/>
        <v>-33</v>
      </c>
      <c r="B19" s="15">
        <v>41132.592398652705</v>
      </c>
      <c r="C19" s="16">
        <v>7.5136650099123061</v>
      </c>
      <c r="D19" s="17">
        <v>12.805163781971695</v>
      </c>
      <c r="F19" s="93" t="s">
        <v>16</v>
      </c>
      <c r="G19" s="94"/>
      <c r="H19" s="94"/>
      <c r="I19" s="95"/>
    </row>
    <row r="20" spans="1:9" x14ac:dyDescent="0.35">
      <c r="A20" s="14">
        <f t="shared" si="0"/>
        <v>-32</v>
      </c>
      <c r="B20" s="15">
        <v>44467.605143965666</v>
      </c>
      <c r="C20" s="16">
        <v>5.8774771902630629</v>
      </c>
      <c r="D20" s="17">
        <v>12.772200090153612</v>
      </c>
      <c r="F20" s="26" t="s">
        <v>5</v>
      </c>
      <c r="G20" s="65" t="s">
        <v>10</v>
      </c>
      <c r="H20" s="65" t="s">
        <v>12</v>
      </c>
      <c r="I20" s="66" t="s">
        <v>11</v>
      </c>
    </row>
    <row r="21" spans="1:9" x14ac:dyDescent="0.35">
      <c r="A21" s="14">
        <f t="shared" si="0"/>
        <v>-31</v>
      </c>
      <c r="B21" s="15">
        <v>37855.509022446058</v>
      </c>
      <c r="C21" s="16">
        <v>5.47157128572365</v>
      </c>
      <c r="D21" s="17">
        <v>13.105942102805981</v>
      </c>
      <c r="F21" s="45" t="s">
        <v>14</v>
      </c>
      <c r="G21" s="46">
        <f>AVERAGE(B2:B51)</f>
        <v>40348.551039257349</v>
      </c>
      <c r="H21" s="47">
        <f t="shared" ref="H21:I21" si="1">AVERAGE(C2:C51)</f>
        <v>6.7641931283394419</v>
      </c>
      <c r="I21" s="48">
        <f t="shared" si="1"/>
        <v>16.239685658870954</v>
      </c>
    </row>
    <row r="22" spans="1:9" x14ac:dyDescent="0.35">
      <c r="A22" s="14">
        <f t="shared" si="0"/>
        <v>-30</v>
      </c>
      <c r="B22" s="15">
        <v>37645.496150376362</v>
      </c>
      <c r="C22" s="16">
        <v>5.5840598601607043</v>
      </c>
      <c r="D22" s="17">
        <v>12.868522524683168</v>
      </c>
      <c r="F22" s="45" t="s">
        <v>15</v>
      </c>
      <c r="G22" s="46">
        <f>_xlfn.STDEV.S(B2:B51)</f>
        <v>3267.870950812277</v>
      </c>
      <c r="H22" s="47">
        <f t="shared" ref="H22:I22" si="2">_xlfn.STDEV.S(C2:C51)</f>
        <v>2.1409127442726441</v>
      </c>
      <c r="I22" s="48">
        <f t="shared" si="2"/>
        <v>2.0248865706735697</v>
      </c>
    </row>
    <row r="23" spans="1:9" ht="15" thickBot="1" x14ac:dyDescent="0.4">
      <c r="A23" s="14">
        <f t="shared" si="0"/>
        <v>-29</v>
      </c>
      <c r="B23" s="15">
        <v>39620.896474216395</v>
      </c>
      <c r="C23" s="16">
        <v>6.2605794175076834</v>
      </c>
      <c r="D23" s="17">
        <v>13.024371394452436</v>
      </c>
      <c r="F23" s="12" t="s">
        <v>13</v>
      </c>
      <c r="G23" s="27" t="e">
        <f ca="1">_xll.RiskMakeInput(AVERAGE(B52:B72))</f>
        <v>#NAME?</v>
      </c>
      <c r="H23" s="28" t="e">
        <f ca="1">_xll.RiskMakeInput(AVERAGE(C52:C72))</f>
        <v>#NAME?</v>
      </c>
      <c r="I23" s="29" t="e">
        <f ca="1">_xll.RiskMakeInput(AVERAGE(D52:D72))</f>
        <v>#NAME?</v>
      </c>
    </row>
    <row r="24" spans="1:9" x14ac:dyDescent="0.35">
      <c r="A24" s="14">
        <f t="shared" si="0"/>
        <v>-28</v>
      </c>
      <c r="B24" s="15">
        <v>45102.149399629285</v>
      </c>
      <c r="C24" s="16">
        <v>5.9503015163990112</v>
      </c>
      <c r="D24" s="17">
        <v>12.759949345772032</v>
      </c>
    </row>
    <row r="25" spans="1:9" x14ac:dyDescent="0.35">
      <c r="A25" s="14">
        <f t="shared" si="0"/>
        <v>-27</v>
      </c>
      <c r="B25" s="15">
        <v>38015.222690106326</v>
      </c>
      <c r="C25" s="16">
        <v>5.4710378788668557</v>
      </c>
      <c r="D25" s="17">
        <v>14.936080884804579</v>
      </c>
    </row>
    <row r="26" spans="1:9" x14ac:dyDescent="0.35">
      <c r="A26" s="14">
        <f t="shared" si="0"/>
        <v>-26</v>
      </c>
      <c r="B26" s="15">
        <v>39030.698370534286</v>
      </c>
      <c r="C26" s="16">
        <v>5.3999147878230493</v>
      </c>
      <c r="D26" s="17">
        <v>16.215189415298159</v>
      </c>
    </row>
    <row r="27" spans="1:9" x14ac:dyDescent="0.35">
      <c r="A27" s="14">
        <f t="shared" si="0"/>
        <v>-25</v>
      </c>
      <c r="B27" s="15">
        <v>41952.938465843108</v>
      </c>
      <c r="C27" s="16">
        <v>5.9101255866114855</v>
      </c>
      <c r="D27" s="17">
        <v>16.149404369339518</v>
      </c>
    </row>
    <row r="28" spans="1:9" x14ac:dyDescent="0.35">
      <c r="A28" s="14">
        <f t="shared" si="0"/>
        <v>-24</v>
      </c>
      <c r="B28" s="15">
        <v>42553.289122875343</v>
      </c>
      <c r="C28" s="16">
        <v>8.2269623969304639</v>
      </c>
      <c r="D28" s="17">
        <v>18.359477032997546</v>
      </c>
    </row>
    <row r="29" spans="1:9" x14ac:dyDescent="0.35">
      <c r="A29" s="14">
        <f t="shared" si="0"/>
        <v>-23</v>
      </c>
      <c r="B29" s="15">
        <v>36561.531192964198</v>
      </c>
      <c r="C29" s="16">
        <v>12.373290378112998</v>
      </c>
      <c r="D29" s="17">
        <v>15.55752295221928</v>
      </c>
    </row>
    <row r="30" spans="1:9" x14ac:dyDescent="0.35">
      <c r="A30" s="14">
        <f t="shared" si="0"/>
        <v>-22</v>
      </c>
      <c r="B30" s="15">
        <v>37905.025432273404</v>
      </c>
      <c r="C30" s="16">
        <v>10.802418744833854</v>
      </c>
      <c r="D30" s="17">
        <v>13.572686796957374</v>
      </c>
    </row>
    <row r="31" spans="1:9" x14ac:dyDescent="0.35">
      <c r="A31" s="14">
        <f t="shared" si="0"/>
        <v>-21</v>
      </c>
      <c r="B31" s="15">
        <v>41174.992419144466</v>
      </c>
      <c r="C31" s="16">
        <v>7.3505856362816857</v>
      </c>
      <c r="D31" s="17">
        <v>12.863688904922149</v>
      </c>
    </row>
    <row r="32" spans="1:9" x14ac:dyDescent="0.35">
      <c r="A32" s="14">
        <f t="shared" si="0"/>
        <v>-20</v>
      </c>
      <c r="B32" s="15">
        <v>42554.592401902635</v>
      </c>
      <c r="C32" s="16">
        <v>5.6544732701215636</v>
      </c>
      <c r="D32" s="17">
        <v>15.860425101109097</v>
      </c>
    </row>
    <row r="33" spans="1:4" x14ac:dyDescent="0.35">
      <c r="A33" s="14">
        <f t="shared" si="0"/>
        <v>-19</v>
      </c>
      <c r="B33" s="15">
        <v>40894.823743769972</v>
      </c>
      <c r="C33" s="16">
        <v>4.6382624450124439</v>
      </c>
      <c r="D33" s="17">
        <v>18.705198146883202</v>
      </c>
    </row>
    <row r="34" spans="1:4" x14ac:dyDescent="0.35">
      <c r="A34" s="14">
        <f t="shared" si="0"/>
        <v>-18</v>
      </c>
      <c r="B34" s="15">
        <v>37301.885188719185</v>
      </c>
      <c r="C34" s="16">
        <v>4.7914879155363375</v>
      </c>
      <c r="D34" s="17">
        <v>19.141656618633487</v>
      </c>
    </row>
    <row r="35" spans="1:4" x14ac:dyDescent="0.35">
      <c r="A35" s="14">
        <f t="shared" si="0"/>
        <v>-17</v>
      </c>
      <c r="B35" s="15">
        <v>41063.037979610999</v>
      </c>
      <c r="C35" s="16">
        <v>5.5100745151775348</v>
      </c>
      <c r="D35" s="17">
        <v>17.427441513282627</v>
      </c>
    </row>
    <row r="36" spans="1:4" x14ac:dyDescent="0.35">
      <c r="A36" s="14">
        <f t="shared" si="0"/>
        <v>-16</v>
      </c>
      <c r="B36" s="15">
        <v>45473.562875958291</v>
      </c>
      <c r="C36" s="16">
        <v>5.6326819652178441</v>
      </c>
      <c r="D36" s="17">
        <v>17.471007202800052</v>
      </c>
    </row>
    <row r="37" spans="1:4" x14ac:dyDescent="0.35">
      <c r="A37" s="14">
        <f t="shared" si="0"/>
        <v>-15</v>
      </c>
      <c r="B37" s="15">
        <v>38910.456140260161</v>
      </c>
      <c r="C37" s="16">
        <v>5.0292551846357529</v>
      </c>
      <c r="D37" s="17">
        <v>18.23427006305964</v>
      </c>
    </row>
    <row r="38" spans="1:4" x14ac:dyDescent="0.35">
      <c r="A38" s="14">
        <f t="shared" si="0"/>
        <v>-14</v>
      </c>
      <c r="B38" s="15">
        <v>33904.008615755229</v>
      </c>
      <c r="C38" s="16">
        <v>5.0609348722750704</v>
      </c>
      <c r="D38" s="17">
        <v>16.288161972723131</v>
      </c>
    </row>
    <row r="39" spans="1:4" x14ac:dyDescent="0.35">
      <c r="A39" s="14">
        <f t="shared" si="0"/>
        <v>-13</v>
      </c>
      <c r="B39" s="15">
        <v>41021.84964353939</v>
      </c>
      <c r="C39" s="16">
        <v>6.1343605534764825</v>
      </c>
      <c r="D39" s="17">
        <v>17.420338676779735</v>
      </c>
    </row>
    <row r="40" spans="1:4" x14ac:dyDescent="0.35">
      <c r="A40" s="14">
        <f t="shared" si="0"/>
        <v>-12</v>
      </c>
      <c r="B40" s="15">
        <v>46968.320943893588</v>
      </c>
      <c r="C40" s="16">
        <v>7.5854728307063466</v>
      </c>
      <c r="D40" s="17">
        <v>16.850949789231375</v>
      </c>
    </row>
    <row r="41" spans="1:4" x14ac:dyDescent="0.35">
      <c r="A41" s="14">
        <f t="shared" si="0"/>
        <v>-11</v>
      </c>
      <c r="B41" s="15">
        <v>39362.08467635858</v>
      </c>
      <c r="C41" s="16">
        <v>10.80674869119111</v>
      </c>
      <c r="D41" s="17">
        <v>16.632450269822364</v>
      </c>
    </row>
    <row r="42" spans="1:4" x14ac:dyDescent="0.35">
      <c r="A42" s="14">
        <f t="shared" si="0"/>
        <v>-10</v>
      </c>
      <c r="B42" s="15">
        <v>35760.009080874835</v>
      </c>
      <c r="C42" s="16">
        <v>10.373725548372827</v>
      </c>
      <c r="D42" s="17">
        <v>19.564953958828664</v>
      </c>
    </row>
    <row r="43" spans="1:4" x14ac:dyDescent="0.35">
      <c r="A43" s="14">
        <f t="shared" si="0"/>
        <v>-9</v>
      </c>
      <c r="B43" s="15">
        <v>39814.507242575412</v>
      </c>
      <c r="C43" s="16">
        <v>7.5882179421388116</v>
      </c>
      <c r="D43" s="17">
        <v>17.393198514912498</v>
      </c>
    </row>
    <row r="44" spans="1:4" x14ac:dyDescent="0.35">
      <c r="A44" s="14">
        <f t="shared" si="0"/>
        <v>-8</v>
      </c>
      <c r="B44" s="15">
        <v>44541.681724700917</v>
      </c>
      <c r="C44" s="16">
        <v>6.0576509023439016</v>
      </c>
      <c r="D44" s="17">
        <v>18.039549905377708</v>
      </c>
    </row>
    <row r="45" spans="1:4" x14ac:dyDescent="0.35">
      <c r="A45" s="14">
        <f t="shared" si="0"/>
        <v>-7</v>
      </c>
      <c r="B45" s="15">
        <v>39117.376605970756</v>
      </c>
      <c r="C45" s="16">
        <v>5.4461375549659135</v>
      </c>
      <c r="D45" s="17">
        <v>19.241035022764866</v>
      </c>
    </row>
    <row r="46" spans="1:4" x14ac:dyDescent="0.35">
      <c r="A46" s="14">
        <f t="shared" si="0"/>
        <v>-6</v>
      </c>
      <c r="B46" s="15">
        <v>34590.239783234945</v>
      </c>
      <c r="C46" s="16">
        <v>5.5160805259259398</v>
      </c>
      <c r="D46" s="17">
        <v>15.737549064381131</v>
      </c>
    </row>
    <row r="47" spans="1:4" x14ac:dyDescent="0.35">
      <c r="A47" s="14">
        <f t="shared" si="0"/>
        <v>-5</v>
      </c>
      <c r="B47" s="15">
        <v>42327.016921022114</v>
      </c>
      <c r="C47" s="16">
        <v>6.0532667763346524</v>
      </c>
      <c r="D47" s="17">
        <v>17.218903440684631</v>
      </c>
    </row>
    <row r="48" spans="1:4" x14ac:dyDescent="0.35">
      <c r="A48" s="14">
        <f t="shared" si="0"/>
        <v>-4</v>
      </c>
      <c r="B48" s="15">
        <v>43121.790921747524</v>
      </c>
      <c r="C48" s="16">
        <v>6.1209170712832233</v>
      </c>
      <c r="D48" s="17">
        <v>17.209171030733209</v>
      </c>
    </row>
    <row r="49" spans="1:4" x14ac:dyDescent="0.35">
      <c r="A49" s="14">
        <f t="shared" si="0"/>
        <v>-3</v>
      </c>
      <c r="B49" s="15">
        <v>40537.490436209482</v>
      </c>
      <c r="C49" s="16">
        <v>5.3354657893398487</v>
      </c>
      <c r="D49" s="17">
        <v>17.585395284772357</v>
      </c>
    </row>
    <row r="50" spans="1:4" x14ac:dyDescent="0.35">
      <c r="A50" s="14">
        <f t="shared" si="0"/>
        <v>-2</v>
      </c>
      <c r="B50" s="15">
        <v>36651.192741510364</v>
      </c>
      <c r="C50" s="16">
        <v>5.6544120797758382</v>
      </c>
      <c r="D50" s="17">
        <v>14.35607738267834</v>
      </c>
    </row>
    <row r="51" spans="1:4" ht="15" thickBot="1" x14ac:dyDescent="0.4">
      <c r="A51" s="67">
        <f t="shared" si="0"/>
        <v>-1</v>
      </c>
      <c r="B51" s="68">
        <v>40476.663031752309</v>
      </c>
      <c r="C51" s="69">
        <v>6.0180083538784794</v>
      </c>
      <c r="D51" s="70">
        <v>15.192410297905868</v>
      </c>
    </row>
    <row r="52" spans="1:4" x14ac:dyDescent="0.35">
      <c r="A52" s="18">
        <f t="shared" si="0"/>
        <v>0</v>
      </c>
      <c r="B52" s="20" t="e">
        <f ca="1">'Time Series Fit Summary'!B9</f>
        <v>#NAME?</v>
      </c>
      <c r="C52" s="21" t="e">
        <f ca="1">'Time Series Fit Summary'!C9</f>
        <v>#NAME?</v>
      </c>
      <c r="D52" s="22" t="e">
        <f ca="1">'Time Series Fit Summary'!D9</f>
        <v>#NAME?</v>
      </c>
    </row>
    <row r="53" spans="1:4" x14ac:dyDescent="0.35">
      <c r="A53" s="18">
        <f t="shared" ref="A53:A69" si="3">A52+1</f>
        <v>1</v>
      </c>
      <c r="B53" s="20" t="e">
        <f ca="1">'Time Series Fit Summary'!B10</f>
        <v>#NAME?</v>
      </c>
      <c r="C53" s="21" t="e">
        <f ca="1">'Time Series Fit Summary'!C10</f>
        <v>#NAME?</v>
      </c>
      <c r="D53" s="22" t="e">
        <f ca="1">'Time Series Fit Summary'!D10</f>
        <v>#NAME?</v>
      </c>
    </row>
    <row r="54" spans="1:4" x14ac:dyDescent="0.35">
      <c r="A54" s="18">
        <f t="shared" si="3"/>
        <v>2</v>
      </c>
      <c r="B54" s="20" t="e">
        <f ca="1">'Time Series Fit Summary'!B11</f>
        <v>#NAME?</v>
      </c>
      <c r="C54" s="21" t="e">
        <f ca="1">'Time Series Fit Summary'!C11</f>
        <v>#NAME?</v>
      </c>
      <c r="D54" s="22" t="e">
        <f ca="1">'Time Series Fit Summary'!D11</f>
        <v>#NAME?</v>
      </c>
    </row>
    <row r="55" spans="1:4" x14ac:dyDescent="0.35">
      <c r="A55" s="18">
        <f t="shared" si="3"/>
        <v>3</v>
      </c>
      <c r="B55" s="20" t="e">
        <f ca="1">'Time Series Fit Summary'!B12</f>
        <v>#NAME?</v>
      </c>
      <c r="C55" s="21" t="e">
        <f ca="1">'Time Series Fit Summary'!C12</f>
        <v>#NAME?</v>
      </c>
      <c r="D55" s="22" t="e">
        <f ca="1">'Time Series Fit Summary'!D12</f>
        <v>#NAME?</v>
      </c>
    </row>
    <row r="56" spans="1:4" x14ac:dyDescent="0.35">
      <c r="A56" s="18">
        <f t="shared" si="3"/>
        <v>4</v>
      </c>
      <c r="B56" s="20" t="e">
        <f ca="1">'Time Series Fit Summary'!B13</f>
        <v>#NAME?</v>
      </c>
      <c r="C56" s="21" t="e">
        <f ca="1">'Time Series Fit Summary'!C13</f>
        <v>#NAME?</v>
      </c>
      <c r="D56" s="22" t="e">
        <f ca="1">'Time Series Fit Summary'!D13</f>
        <v>#NAME?</v>
      </c>
    </row>
    <row r="57" spans="1:4" x14ac:dyDescent="0.35">
      <c r="A57" s="18">
        <f t="shared" si="3"/>
        <v>5</v>
      </c>
      <c r="B57" s="20" t="e">
        <f ca="1">'Time Series Fit Summary'!B14</f>
        <v>#NAME?</v>
      </c>
      <c r="C57" s="21" t="e">
        <f ca="1">'Time Series Fit Summary'!C14</f>
        <v>#NAME?</v>
      </c>
      <c r="D57" s="22" t="e">
        <f ca="1">'Time Series Fit Summary'!D14</f>
        <v>#NAME?</v>
      </c>
    </row>
    <row r="58" spans="1:4" x14ac:dyDescent="0.35">
      <c r="A58" s="18">
        <f t="shared" si="3"/>
        <v>6</v>
      </c>
      <c r="B58" s="20" t="e">
        <f ca="1">'Time Series Fit Summary'!B15</f>
        <v>#NAME?</v>
      </c>
      <c r="C58" s="21" t="e">
        <f ca="1">'Time Series Fit Summary'!C15</f>
        <v>#NAME?</v>
      </c>
      <c r="D58" s="22" t="e">
        <f ca="1">'Time Series Fit Summary'!D15</f>
        <v>#NAME?</v>
      </c>
    </row>
    <row r="59" spans="1:4" x14ac:dyDescent="0.35">
      <c r="A59" s="18">
        <f t="shared" si="3"/>
        <v>7</v>
      </c>
      <c r="B59" s="20" t="e">
        <f ca="1">'Time Series Fit Summary'!B16</f>
        <v>#NAME?</v>
      </c>
      <c r="C59" s="21" t="e">
        <f ca="1">'Time Series Fit Summary'!C16</f>
        <v>#NAME?</v>
      </c>
      <c r="D59" s="22" t="e">
        <f ca="1">'Time Series Fit Summary'!D16</f>
        <v>#NAME?</v>
      </c>
    </row>
    <row r="60" spans="1:4" x14ac:dyDescent="0.35">
      <c r="A60" s="18">
        <f t="shared" si="3"/>
        <v>8</v>
      </c>
      <c r="B60" s="20" t="e">
        <f ca="1">'Time Series Fit Summary'!B17</f>
        <v>#NAME?</v>
      </c>
      <c r="C60" s="21" t="e">
        <f ca="1">'Time Series Fit Summary'!C17</f>
        <v>#NAME?</v>
      </c>
      <c r="D60" s="22" t="e">
        <f ca="1">'Time Series Fit Summary'!D17</f>
        <v>#NAME?</v>
      </c>
    </row>
    <row r="61" spans="1:4" x14ac:dyDescent="0.35">
      <c r="A61" s="18">
        <f t="shared" si="3"/>
        <v>9</v>
      </c>
      <c r="B61" s="20" t="e">
        <f ca="1">'Time Series Fit Summary'!B18</f>
        <v>#NAME?</v>
      </c>
      <c r="C61" s="21" t="e">
        <f ca="1">'Time Series Fit Summary'!C18</f>
        <v>#NAME?</v>
      </c>
      <c r="D61" s="22" t="e">
        <f ca="1">'Time Series Fit Summary'!D18</f>
        <v>#NAME?</v>
      </c>
    </row>
    <row r="62" spans="1:4" x14ac:dyDescent="0.35">
      <c r="A62" s="18">
        <f t="shared" si="3"/>
        <v>10</v>
      </c>
      <c r="B62" s="20" t="e">
        <f ca="1">'Time Series Fit Summary'!B19</f>
        <v>#NAME?</v>
      </c>
      <c r="C62" s="21" t="e">
        <f ca="1">'Time Series Fit Summary'!C19</f>
        <v>#NAME?</v>
      </c>
      <c r="D62" s="22" t="e">
        <f ca="1">'Time Series Fit Summary'!D19</f>
        <v>#NAME?</v>
      </c>
    </row>
    <row r="63" spans="1:4" x14ac:dyDescent="0.35">
      <c r="A63" s="18">
        <f t="shared" si="3"/>
        <v>11</v>
      </c>
      <c r="B63" s="20" t="e">
        <f ca="1">'Time Series Fit Summary'!B20</f>
        <v>#NAME?</v>
      </c>
      <c r="C63" s="21" t="e">
        <f ca="1">'Time Series Fit Summary'!C20</f>
        <v>#NAME?</v>
      </c>
      <c r="D63" s="22" t="e">
        <f ca="1">'Time Series Fit Summary'!D20</f>
        <v>#NAME?</v>
      </c>
    </row>
    <row r="64" spans="1:4" x14ac:dyDescent="0.35">
      <c r="A64" s="18">
        <f t="shared" si="3"/>
        <v>12</v>
      </c>
      <c r="B64" s="20" t="e">
        <f ca="1">'Time Series Fit Summary'!B21</f>
        <v>#NAME?</v>
      </c>
      <c r="C64" s="21" t="e">
        <f ca="1">'Time Series Fit Summary'!C21</f>
        <v>#NAME?</v>
      </c>
      <c r="D64" s="22" t="e">
        <f ca="1">'Time Series Fit Summary'!D21</f>
        <v>#NAME?</v>
      </c>
    </row>
    <row r="65" spans="1:4" x14ac:dyDescent="0.35">
      <c r="A65" s="18">
        <f t="shared" si="3"/>
        <v>13</v>
      </c>
      <c r="B65" s="20" t="e">
        <f ca="1">'Time Series Fit Summary'!B22</f>
        <v>#NAME?</v>
      </c>
      <c r="C65" s="21" t="e">
        <f ca="1">'Time Series Fit Summary'!C22</f>
        <v>#NAME?</v>
      </c>
      <c r="D65" s="22" t="e">
        <f ca="1">'Time Series Fit Summary'!D22</f>
        <v>#NAME?</v>
      </c>
    </row>
    <row r="66" spans="1:4" x14ac:dyDescent="0.35">
      <c r="A66" s="18">
        <f t="shared" si="3"/>
        <v>14</v>
      </c>
      <c r="B66" s="20" t="e">
        <f ca="1">'Time Series Fit Summary'!B23</f>
        <v>#NAME?</v>
      </c>
      <c r="C66" s="21" t="e">
        <f ca="1">'Time Series Fit Summary'!C23</f>
        <v>#NAME?</v>
      </c>
      <c r="D66" s="22" t="e">
        <f ca="1">'Time Series Fit Summary'!D23</f>
        <v>#NAME?</v>
      </c>
    </row>
    <row r="67" spans="1:4" x14ac:dyDescent="0.35">
      <c r="A67" s="18">
        <f t="shared" si="3"/>
        <v>15</v>
      </c>
      <c r="B67" s="20" t="e">
        <f ca="1">'Time Series Fit Summary'!B24</f>
        <v>#NAME?</v>
      </c>
      <c r="C67" s="21" t="e">
        <f ca="1">'Time Series Fit Summary'!C24</f>
        <v>#NAME?</v>
      </c>
      <c r="D67" s="22" t="e">
        <f ca="1">'Time Series Fit Summary'!D24</f>
        <v>#NAME?</v>
      </c>
    </row>
    <row r="68" spans="1:4" x14ac:dyDescent="0.35">
      <c r="A68" s="18">
        <f t="shared" si="3"/>
        <v>16</v>
      </c>
      <c r="B68" s="20" t="e">
        <f ca="1">'Time Series Fit Summary'!B25</f>
        <v>#NAME?</v>
      </c>
      <c r="C68" s="21" t="e">
        <f ca="1">'Time Series Fit Summary'!C25</f>
        <v>#NAME?</v>
      </c>
      <c r="D68" s="22" t="e">
        <f ca="1">'Time Series Fit Summary'!D25</f>
        <v>#NAME?</v>
      </c>
    </row>
    <row r="69" spans="1:4" x14ac:dyDescent="0.35">
      <c r="A69" s="18">
        <f t="shared" si="3"/>
        <v>17</v>
      </c>
      <c r="B69" s="20" t="e">
        <f ca="1">'Time Series Fit Summary'!B26</f>
        <v>#NAME?</v>
      </c>
      <c r="C69" s="21" t="e">
        <f ca="1">'Time Series Fit Summary'!C26</f>
        <v>#NAME?</v>
      </c>
      <c r="D69" s="22" t="e">
        <f ca="1">'Time Series Fit Summary'!D26</f>
        <v>#NAME?</v>
      </c>
    </row>
    <row r="70" spans="1:4" x14ac:dyDescent="0.35">
      <c r="A70" s="18">
        <f>A69+1</f>
        <v>18</v>
      </c>
      <c r="B70" s="20" t="e">
        <f ca="1">'Time Series Fit Summary'!B27</f>
        <v>#NAME?</v>
      </c>
      <c r="C70" s="21" t="e">
        <f ca="1">'Time Series Fit Summary'!C27</f>
        <v>#NAME?</v>
      </c>
      <c r="D70" s="22" t="e">
        <f ca="1">'Time Series Fit Summary'!D27</f>
        <v>#NAME?</v>
      </c>
    </row>
    <row r="71" spans="1:4" x14ac:dyDescent="0.35">
      <c r="A71" s="18">
        <f>A70+1</f>
        <v>19</v>
      </c>
      <c r="B71" s="20" t="e">
        <f ca="1">'Time Series Fit Summary'!B28</f>
        <v>#NAME?</v>
      </c>
      <c r="C71" s="21" t="e">
        <f ca="1">'Time Series Fit Summary'!C28</f>
        <v>#NAME?</v>
      </c>
      <c r="D71" s="22" t="e">
        <f ca="1">'Time Series Fit Summary'!D28</f>
        <v>#NAME?</v>
      </c>
    </row>
    <row r="72" spans="1:4" ht="15" thickBot="1" x14ac:dyDescent="0.4">
      <c r="A72" s="19">
        <f>A71+1</f>
        <v>20</v>
      </c>
      <c r="B72" s="23" t="e">
        <f ca="1">'Time Series Fit Summary'!B29</f>
        <v>#NAME?</v>
      </c>
      <c r="C72" s="24" t="e">
        <f ca="1">'Time Series Fit Summary'!C29</f>
        <v>#NAME?</v>
      </c>
      <c r="D72" s="25" t="e">
        <f ca="1">'Time Series Fit Summary'!D29</f>
        <v>#NAME?</v>
      </c>
    </row>
  </sheetData>
  <mergeCells count="1">
    <mergeCell ref="F19:I19"/>
  </mergeCells>
  <conditionalFormatting sqref="G23:I23">
    <cfRule type="expression" dxfId="5" priority="1" stopIfTrue="1">
      <formula>RiskColorCellsSimOutput</formula>
    </cfRule>
    <cfRule type="expression" dxfId="4" priority="2" stopIfTrue="1">
      <formula>RiskColorCellsSimInput</formula>
    </cfRule>
    <cfRule type="expression" dxfId="3" priority="3" stopIfTrue="1">
      <formula>RiskColorCellsSimStatistics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36B2-4281-4389-8A78-EE55C53EDF7E}">
  <dimension ref="A1:Q2"/>
  <sheetViews>
    <sheetView workbookViewId="0"/>
  </sheetViews>
  <sheetFormatPr defaultRowHeight="14.5" x14ac:dyDescent="0.35"/>
  <sheetData>
    <row r="1" spans="1:17" x14ac:dyDescent="0.35">
      <c r="A1" t="s">
        <v>53</v>
      </c>
      <c r="B1" t="s">
        <v>54</v>
      </c>
      <c r="C1" t="s">
        <v>55</v>
      </c>
      <c r="D1" t="s">
        <v>56</v>
      </c>
      <c r="E1" t="s">
        <v>66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63</v>
      </c>
      <c r="L1" t="s">
        <v>64</v>
      </c>
      <c r="M1" t="s">
        <v>65</v>
      </c>
      <c r="N1" t="s">
        <v>57</v>
      </c>
      <c r="O1" t="s">
        <v>67</v>
      </c>
      <c r="P1" t="s">
        <v>68</v>
      </c>
      <c r="Q1" t="s">
        <v>69</v>
      </c>
    </row>
    <row r="2" spans="1:17" x14ac:dyDescent="0.35">
      <c r="A2" s="88">
        <f>'Cash Flow Risk'!$C$30</f>
        <v>1.119477693808528E-2</v>
      </c>
      <c r="B2" t="e">
        <f ca="1">'Cash Flow Risk'!$C$47</f>
        <v>#NAME?</v>
      </c>
      <c r="C2">
        <v>0</v>
      </c>
      <c r="D2">
        <v>6</v>
      </c>
      <c r="E2">
        <v>1</v>
      </c>
      <c r="F2">
        <v>100</v>
      </c>
      <c r="G2">
        <v>0</v>
      </c>
      <c r="H2">
        <v>0.25</v>
      </c>
      <c r="I2" t="b">
        <v>0</v>
      </c>
      <c r="J2" t="b">
        <v>0</v>
      </c>
      <c r="K2" t="b">
        <v>0</v>
      </c>
      <c r="L2" t="b">
        <v>1</v>
      </c>
      <c r="M2">
        <v>0.1</v>
      </c>
      <c r="N2">
        <v>0.01</v>
      </c>
      <c r="O2">
        <v>9</v>
      </c>
      <c r="P2" t="s">
        <v>70</v>
      </c>
      <c r="Q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624B3-5858-4530-9281-8D4B8C43C500}">
  <dimension ref="A1:E37"/>
  <sheetViews>
    <sheetView showGridLines="0" workbookViewId="0"/>
  </sheetViews>
  <sheetFormatPr defaultColWidth="9.08984375" defaultRowHeight="14.5" x14ac:dyDescent="0.35"/>
  <cols>
    <col min="1" max="4" width="20.6328125" customWidth="1"/>
  </cols>
  <sheetData>
    <row r="1" spans="1:5" s="71" customFormat="1" ht="65.5" customHeight="1" x14ac:dyDescent="0.35"/>
    <row r="4" spans="1:5" x14ac:dyDescent="0.35">
      <c r="A4" s="73" t="s">
        <v>43</v>
      </c>
      <c r="B4" s="74" t="s">
        <v>10</v>
      </c>
      <c r="C4" s="74" t="s">
        <v>12</v>
      </c>
      <c r="D4" s="75" t="s">
        <v>11</v>
      </c>
      <c r="E4" t="s">
        <v>5</v>
      </c>
    </row>
    <row r="5" spans="1:5" x14ac:dyDescent="0.35">
      <c r="A5" s="76" t="s">
        <v>44</v>
      </c>
      <c r="B5" s="85" t="s">
        <v>96</v>
      </c>
      <c r="C5" s="85" t="s">
        <v>98</v>
      </c>
      <c r="D5" s="85" t="s">
        <v>100</v>
      </c>
      <c r="E5" t="s">
        <v>5</v>
      </c>
    </row>
    <row r="6" spans="1:5" x14ac:dyDescent="0.35">
      <c r="A6" s="76" t="s">
        <v>45</v>
      </c>
      <c r="B6" s="76" t="s">
        <v>97</v>
      </c>
      <c r="C6" s="76" t="s">
        <v>99</v>
      </c>
      <c r="D6" s="76" t="s">
        <v>101</v>
      </c>
      <c r="E6" t="s">
        <v>5</v>
      </c>
    </row>
    <row r="7" spans="1:5" ht="15" thickBot="1" x14ac:dyDescent="0.4">
      <c r="A7" s="76" t="s">
        <v>6</v>
      </c>
      <c r="B7" s="77">
        <v>873.90233241562999</v>
      </c>
      <c r="C7" s="77">
        <v>28.408186879027863</v>
      </c>
      <c r="D7" s="77">
        <v>186.16360061559644</v>
      </c>
      <c r="E7" t="s">
        <v>5</v>
      </c>
    </row>
    <row r="8" spans="1:5" ht="64.75" customHeight="1" thickBot="1" x14ac:dyDescent="0.4">
      <c r="A8" s="80" t="s">
        <v>46</v>
      </c>
      <c r="B8" s="79"/>
      <c r="C8" s="79"/>
      <c r="D8" s="79"/>
      <c r="E8" t="s">
        <v>5</v>
      </c>
    </row>
    <row r="9" spans="1:5" x14ac:dyDescent="0.35">
      <c r="A9" s="76" t="s">
        <v>47</v>
      </c>
      <c r="B9" s="78" t="e">
        <f t="array" aca="1" ref="B9:B32" ca="1">_xll.RiskGARCH11(40390,924860,0.27937,0.4286,39824,1349.4,_xll.RiskTsSeasonality(3,4,{-3932.6,652.58,3848.1,-526.88},3),_xll.RiskName("Sales Volume"),_xll.RiskTsSync(2,MarketData!$B$2:$B$51),_xll.RiskCorrmat($B$35:$D$37,1))</f>
        <v>#NAME?</v>
      </c>
      <c r="C9" s="78" t="e">
        <f t="array" aca="1" ref="C9:C32" ca="1">_xll.RiskMA2(6.8298,0.29504,0.75267,0.22645,-0.45828,0.43178,_xll.RiskTsSeasonality(3,12,{-1.6327,-0.67418,1.1348,4.7077,3.5019,0.67465,-1.1168,-1.661,-1.5827,-1.026,-1.0129,-1.6357},3),_xll.RiskName("Mateirals Cost"),_xll.RiskTsSync(2,MarketData!$C$2:$C$51),_xll.RiskCorrmat($B$35:$D$37,2))</f>
        <v>#NAME?</v>
      </c>
      <c r="D9" s="78" t="e">
        <f t="array" aca="1" ref="D9:D32" ca="1">_xll.RiskAR1(16.326,1.4567,0.69184,15.192,_xll.RiskName("Product Price"),_xll.RiskTsSync(2,MarketData!$D$2:$D$51),_xll.RiskCorrmat($B$35:$D$37,3))</f>
        <v>#NAME?</v>
      </c>
      <c r="E9" t="s">
        <v>5</v>
      </c>
    </row>
    <row r="10" spans="1:5" x14ac:dyDescent="0.35">
      <c r="A10" s="76"/>
      <c r="B10" s="76" t="e">
        <f ca="1"/>
        <v>#NAME?</v>
      </c>
      <c r="C10" s="76" t="e">
        <f ca="1"/>
        <v>#NAME?</v>
      </c>
      <c r="D10" s="76" t="e">
        <f ca="1"/>
        <v>#NAME?</v>
      </c>
      <c r="E10" t="s">
        <v>5</v>
      </c>
    </row>
    <row r="11" spans="1:5" x14ac:dyDescent="0.35">
      <c r="A11" s="76"/>
      <c r="B11" s="76" t="e">
        <f ca="1"/>
        <v>#NAME?</v>
      </c>
      <c r="C11" s="76" t="e">
        <f ca="1"/>
        <v>#NAME?</v>
      </c>
      <c r="D11" s="76" t="e">
        <f ca="1"/>
        <v>#NAME?</v>
      </c>
      <c r="E11" t="s">
        <v>5</v>
      </c>
    </row>
    <row r="12" spans="1:5" x14ac:dyDescent="0.35">
      <c r="A12" s="76"/>
      <c r="B12" s="76" t="e">
        <f ca="1"/>
        <v>#NAME?</v>
      </c>
      <c r="C12" s="76" t="e">
        <f ca="1"/>
        <v>#NAME?</v>
      </c>
      <c r="D12" s="76" t="e">
        <f ca="1"/>
        <v>#NAME?</v>
      </c>
      <c r="E12" t="s">
        <v>5</v>
      </c>
    </row>
    <row r="13" spans="1:5" x14ac:dyDescent="0.35">
      <c r="A13" s="76"/>
      <c r="B13" s="76" t="e">
        <f ca="1"/>
        <v>#NAME?</v>
      </c>
      <c r="C13" s="76" t="e">
        <f ca="1"/>
        <v>#NAME?</v>
      </c>
      <c r="D13" s="76" t="e">
        <f ca="1"/>
        <v>#NAME?</v>
      </c>
      <c r="E13" t="s">
        <v>5</v>
      </c>
    </row>
    <row r="14" spans="1:5" x14ac:dyDescent="0.35">
      <c r="A14" s="76"/>
      <c r="B14" s="76" t="e">
        <f ca="1"/>
        <v>#NAME?</v>
      </c>
      <c r="C14" s="76" t="e">
        <f ca="1"/>
        <v>#NAME?</v>
      </c>
      <c r="D14" s="76" t="e">
        <f ca="1"/>
        <v>#NAME?</v>
      </c>
      <c r="E14" t="s">
        <v>5</v>
      </c>
    </row>
    <row r="15" spans="1:5" x14ac:dyDescent="0.35">
      <c r="A15" s="76"/>
      <c r="B15" s="76" t="e">
        <f ca="1"/>
        <v>#NAME?</v>
      </c>
      <c r="C15" s="76" t="e">
        <f ca="1"/>
        <v>#NAME?</v>
      </c>
      <c r="D15" s="76" t="e">
        <f ca="1"/>
        <v>#NAME?</v>
      </c>
      <c r="E15" t="s">
        <v>5</v>
      </c>
    </row>
    <row r="16" spans="1:5" x14ac:dyDescent="0.35">
      <c r="A16" s="76"/>
      <c r="B16" s="76" t="e">
        <f ca="1"/>
        <v>#NAME?</v>
      </c>
      <c r="C16" s="76" t="e">
        <f ca="1"/>
        <v>#NAME?</v>
      </c>
      <c r="D16" s="76" t="e">
        <f ca="1"/>
        <v>#NAME?</v>
      </c>
      <c r="E16" t="s">
        <v>5</v>
      </c>
    </row>
    <row r="17" spans="1:5" x14ac:dyDescent="0.35">
      <c r="A17" s="76"/>
      <c r="B17" s="76" t="e">
        <f ca="1"/>
        <v>#NAME?</v>
      </c>
      <c r="C17" s="76" t="e">
        <f ca="1"/>
        <v>#NAME?</v>
      </c>
      <c r="D17" s="76" t="e">
        <f ca="1"/>
        <v>#NAME?</v>
      </c>
      <c r="E17" t="s">
        <v>5</v>
      </c>
    </row>
    <row r="18" spans="1:5" x14ac:dyDescent="0.35">
      <c r="A18" s="76"/>
      <c r="B18" s="76" t="e">
        <f ca="1"/>
        <v>#NAME?</v>
      </c>
      <c r="C18" s="76" t="e">
        <f ca="1"/>
        <v>#NAME?</v>
      </c>
      <c r="D18" s="76" t="e">
        <f ca="1"/>
        <v>#NAME?</v>
      </c>
      <c r="E18" t="s">
        <v>5</v>
      </c>
    </row>
    <row r="19" spans="1:5" x14ac:dyDescent="0.35">
      <c r="A19" s="76"/>
      <c r="B19" s="76" t="e">
        <f ca="1"/>
        <v>#NAME?</v>
      </c>
      <c r="C19" s="76" t="e">
        <f ca="1"/>
        <v>#NAME?</v>
      </c>
      <c r="D19" s="76" t="e">
        <f ca="1"/>
        <v>#NAME?</v>
      </c>
      <c r="E19" t="s">
        <v>5</v>
      </c>
    </row>
    <row r="20" spans="1:5" x14ac:dyDescent="0.35">
      <c r="A20" s="76"/>
      <c r="B20" s="76" t="e">
        <f ca="1"/>
        <v>#NAME?</v>
      </c>
      <c r="C20" s="76" t="e">
        <f ca="1"/>
        <v>#NAME?</v>
      </c>
      <c r="D20" s="76" t="e">
        <f ca="1"/>
        <v>#NAME?</v>
      </c>
      <c r="E20" t="s">
        <v>5</v>
      </c>
    </row>
    <row r="21" spans="1:5" x14ac:dyDescent="0.35">
      <c r="A21" s="76"/>
      <c r="B21" s="76" t="e">
        <f ca="1"/>
        <v>#NAME?</v>
      </c>
      <c r="C21" s="76" t="e">
        <f ca="1"/>
        <v>#NAME?</v>
      </c>
      <c r="D21" s="76" t="e">
        <f ca="1"/>
        <v>#NAME?</v>
      </c>
      <c r="E21" t="s">
        <v>5</v>
      </c>
    </row>
    <row r="22" spans="1:5" x14ac:dyDescent="0.35">
      <c r="A22" s="76"/>
      <c r="B22" s="76" t="e">
        <f ca="1"/>
        <v>#NAME?</v>
      </c>
      <c r="C22" s="76" t="e">
        <f ca="1"/>
        <v>#NAME?</v>
      </c>
      <c r="D22" s="76" t="e">
        <f ca="1"/>
        <v>#NAME?</v>
      </c>
      <c r="E22" t="s">
        <v>5</v>
      </c>
    </row>
    <row r="23" spans="1:5" x14ac:dyDescent="0.35">
      <c r="A23" s="76"/>
      <c r="B23" s="76" t="e">
        <f ca="1"/>
        <v>#NAME?</v>
      </c>
      <c r="C23" s="76" t="e">
        <f ca="1"/>
        <v>#NAME?</v>
      </c>
      <c r="D23" s="76" t="e">
        <f ca="1"/>
        <v>#NAME?</v>
      </c>
      <c r="E23" t="s">
        <v>5</v>
      </c>
    </row>
    <row r="24" spans="1:5" x14ac:dyDescent="0.35">
      <c r="A24" s="76"/>
      <c r="B24" s="76" t="e">
        <f ca="1"/>
        <v>#NAME?</v>
      </c>
      <c r="C24" s="76" t="e">
        <f ca="1"/>
        <v>#NAME?</v>
      </c>
      <c r="D24" s="76" t="e">
        <f ca="1"/>
        <v>#NAME?</v>
      </c>
      <c r="E24" t="s">
        <v>5</v>
      </c>
    </row>
    <row r="25" spans="1:5" x14ac:dyDescent="0.35">
      <c r="A25" s="76"/>
      <c r="B25" s="76" t="e">
        <f ca="1"/>
        <v>#NAME?</v>
      </c>
      <c r="C25" s="76" t="e">
        <f ca="1"/>
        <v>#NAME?</v>
      </c>
      <c r="D25" s="76" t="e">
        <f ca="1"/>
        <v>#NAME?</v>
      </c>
      <c r="E25" t="s">
        <v>5</v>
      </c>
    </row>
    <row r="26" spans="1:5" x14ac:dyDescent="0.35">
      <c r="A26" s="76"/>
      <c r="B26" s="76" t="e">
        <f ca="1"/>
        <v>#NAME?</v>
      </c>
      <c r="C26" s="76" t="e">
        <f ca="1"/>
        <v>#NAME?</v>
      </c>
      <c r="D26" s="76" t="e">
        <f ca="1"/>
        <v>#NAME?</v>
      </c>
      <c r="E26" t="s">
        <v>5</v>
      </c>
    </row>
    <row r="27" spans="1:5" x14ac:dyDescent="0.35">
      <c r="A27" s="76"/>
      <c r="B27" s="76" t="e">
        <f ca="1"/>
        <v>#NAME?</v>
      </c>
      <c r="C27" s="76" t="e">
        <f ca="1"/>
        <v>#NAME?</v>
      </c>
      <c r="D27" s="76" t="e">
        <f ca="1"/>
        <v>#NAME?</v>
      </c>
      <c r="E27" t="s">
        <v>5</v>
      </c>
    </row>
    <row r="28" spans="1:5" x14ac:dyDescent="0.35">
      <c r="A28" s="76"/>
      <c r="B28" s="76" t="e">
        <f ca="1"/>
        <v>#NAME?</v>
      </c>
      <c r="C28" s="76" t="e">
        <f ca="1"/>
        <v>#NAME?</v>
      </c>
      <c r="D28" s="76" t="e">
        <f ca="1"/>
        <v>#NAME?</v>
      </c>
      <c r="E28" t="s">
        <v>5</v>
      </c>
    </row>
    <row r="29" spans="1:5" x14ac:dyDescent="0.35">
      <c r="A29" s="76"/>
      <c r="B29" s="76" t="e">
        <f ca="1"/>
        <v>#NAME?</v>
      </c>
      <c r="C29" s="76" t="e">
        <f ca="1"/>
        <v>#NAME?</v>
      </c>
      <c r="D29" s="76" t="e">
        <f ca="1"/>
        <v>#NAME?</v>
      </c>
      <c r="E29" t="s">
        <v>5</v>
      </c>
    </row>
    <row r="30" spans="1:5" x14ac:dyDescent="0.35">
      <c r="A30" s="76"/>
      <c r="B30" s="76" t="e">
        <f ca="1"/>
        <v>#NAME?</v>
      </c>
      <c r="C30" s="76" t="e">
        <f ca="1"/>
        <v>#NAME?</v>
      </c>
      <c r="D30" s="76" t="e">
        <f ca="1"/>
        <v>#NAME?</v>
      </c>
      <c r="E30" t="s">
        <v>5</v>
      </c>
    </row>
    <row r="31" spans="1:5" x14ac:dyDescent="0.35">
      <c r="A31" s="76"/>
      <c r="B31" s="76" t="e">
        <f ca="1"/>
        <v>#NAME?</v>
      </c>
      <c r="C31" s="76" t="e">
        <f ca="1"/>
        <v>#NAME?</v>
      </c>
      <c r="D31" s="76" t="e">
        <f ca="1"/>
        <v>#NAME?</v>
      </c>
      <c r="E31" t="s">
        <v>5</v>
      </c>
    </row>
    <row r="32" spans="1:5" x14ac:dyDescent="0.35">
      <c r="A32" s="76"/>
      <c r="B32" s="76" t="e">
        <f ca="1"/>
        <v>#NAME?</v>
      </c>
      <c r="C32" s="76" t="e">
        <f ca="1"/>
        <v>#NAME?</v>
      </c>
      <c r="D32" s="76" t="e">
        <f ca="1"/>
        <v>#NAME?</v>
      </c>
      <c r="E32" t="s">
        <v>5</v>
      </c>
    </row>
    <row r="34" spans="1:5" ht="29" x14ac:dyDescent="0.35">
      <c r="A34" s="72" t="s">
        <v>48</v>
      </c>
      <c r="B34" s="86" t="s">
        <v>49</v>
      </c>
      <c r="C34" s="87" t="s">
        <v>50</v>
      </c>
      <c r="D34" s="75" t="s">
        <v>11</v>
      </c>
      <c r="E34" t="s">
        <v>5</v>
      </c>
    </row>
    <row r="35" spans="1:5" x14ac:dyDescent="0.35">
      <c r="A35" s="81" t="s">
        <v>51</v>
      </c>
      <c r="B35" s="83">
        <v>1</v>
      </c>
      <c r="C35" s="84"/>
      <c r="D35" s="84"/>
      <c r="E35" t="s">
        <v>5</v>
      </c>
    </row>
    <row r="36" spans="1:5" x14ac:dyDescent="0.35">
      <c r="A36" s="81" t="s">
        <v>52</v>
      </c>
      <c r="B36" s="83">
        <v>-0.20403361344537815</v>
      </c>
      <c r="C36" s="84">
        <v>1</v>
      </c>
      <c r="D36" s="84"/>
      <c r="E36" t="s">
        <v>5</v>
      </c>
    </row>
    <row r="37" spans="1:5" x14ac:dyDescent="0.35">
      <c r="A37" s="82" t="s">
        <v>11</v>
      </c>
      <c r="B37" s="83">
        <v>1.5894357743097238E-2</v>
      </c>
      <c r="C37" s="84">
        <v>-0.16657863145258103</v>
      </c>
      <c r="D37" s="84">
        <v>1</v>
      </c>
      <c r="E37" t="s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DF373-0CDE-41E4-9DA0-0BF4CA73DB3B}">
  <dimension ref="A1:X11"/>
  <sheetViews>
    <sheetView workbookViewId="0"/>
  </sheetViews>
  <sheetFormatPr defaultColWidth="25.6328125" defaultRowHeight="14.5" x14ac:dyDescent="0.35"/>
  <sheetData>
    <row r="1" spans="1:24" x14ac:dyDescent="0.35">
      <c r="A1" t="s">
        <v>72</v>
      </c>
      <c r="B1" t="s">
        <v>70</v>
      </c>
    </row>
    <row r="2" spans="1:24" x14ac:dyDescent="0.35">
      <c r="A2" t="s">
        <v>73</v>
      </c>
      <c r="B2">
        <v>4</v>
      </c>
    </row>
    <row r="3" spans="1:24" x14ac:dyDescent="0.35">
      <c r="A3" t="s">
        <v>74</v>
      </c>
      <c r="B3">
        <v>0</v>
      </c>
    </row>
    <row r="5" spans="1:24" x14ac:dyDescent="0.35">
      <c r="A5" t="s">
        <v>75</v>
      </c>
      <c r="B5" t="s">
        <v>76</v>
      </c>
      <c r="C5" t="s">
        <v>77</v>
      </c>
      <c r="D5" t="s">
        <v>78</v>
      </c>
      <c r="E5" t="s">
        <v>79</v>
      </c>
      <c r="F5" t="s">
        <v>80</v>
      </c>
      <c r="J5" t="s">
        <v>81</v>
      </c>
      <c r="K5" t="s">
        <v>82</v>
      </c>
      <c r="L5" t="s">
        <v>83</v>
      </c>
      <c r="N5" t="s">
        <v>84</v>
      </c>
      <c r="O5" t="s">
        <v>85</v>
      </c>
      <c r="P5" t="s">
        <v>86</v>
      </c>
      <c r="R5" t="s">
        <v>87</v>
      </c>
      <c r="S5" t="s">
        <v>88</v>
      </c>
      <c r="T5" t="s">
        <v>89</v>
      </c>
      <c r="V5" t="s">
        <v>90</v>
      </c>
      <c r="W5" t="s">
        <v>91</v>
      </c>
      <c r="X5" t="s">
        <v>92</v>
      </c>
    </row>
    <row r="6" spans="1:24" x14ac:dyDescent="0.35">
      <c r="A6" t="e">
        <f ca="1">ModelRef('Cash Flow Risk'!$K$22,1,0,0)</f>
        <v>#NAME?</v>
      </c>
      <c r="B6">
        <v>0</v>
      </c>
      <c r="C6">
        <v>3</v>
      </c>
      <c r="F6">
        <v>0</v>
      </c>
      <c r="J6" t="b">
        <v>1</v>
      </c>
      <c r="K6" t="s">
        <v>102</v>
      </c>
      <c r="L6" t="e">
        <f ca="1">ModelRef('Cash Flow Risk'!$K$22,1,0,0)+ModelRef('Cash Flow Risk'!$K$46,1,0,-1)</f>
        <v>#NAME?</v>
      </c>
    </row>
    <row r="7" spans="1:24" x14ac:dyDescent="0.35">
      <c r="A7" t="e">
        <f ca="1">ModelRef('Cash Flow Risk'!$F$22,1,0,0)</f>
        <v>#NAME?</v>
      </c>
      <c r="B7">
        <v>0</v>
      </c>
      <c r="C7">
        <v>3</v>
      </c>
      <c r="F7">
        <v>0</v>
      </c>
      <c r="J7" t="b">
        <v>1</v>
      </c>
      <c r="K7" t="s">
        <v>103</v>
      </c>
      <c r="L7" t="e">
        <f ca="1">ModelRef('Cash Flow Risk'!$F$22,1,0,0)+ModelRef('Cash Flow Risk'!$F$46,1,0,-1)</f>
        <v>#NAME?</v>
      </c>
    </row>
    <row r="8" spans="1:24" x14ac:dyDescent="0.35">
      <c r="A8" t="e">
        <f ca="1">ModelRef('Cash Flow Risk'!$E$22,1,0,0)</f>
        <v>#NAME?</v>
      </c>
      <c r="B8">
        <v>0</v>
      </c>
      <c r="C8">
        <v>3</v>
      </c>
      <c r="F8">
        <v>0</v>
      </c>
      <c r="J8" t="b">
        <v>1</v>
      </c>
      <c r="K8" t="s">
        <v>104</v>
      </c>
      <c r="L8" t="e">
        <f ca="1">ModelRef('Cash Flow Risk'!$E$22,1,0,0)+ModelRef('Cash Flow Risk'!$E$46,1,0,-1)</f>
        <v>#NAME?</v>
      </c>
    </row>
    <row r="9" spans="1:24" x14ac:dyDescent="0.35">
      <c r="A9" t="e">
        <f ca="1">ModelRef('Cash Flow Risk'!$D$22,1,0,0)</f>
        <v>#NAME?</v>
      </c>
      <c r="B9">
        <v>0</v>
      </c>
      <c r="C9">
        <v>3</v>
      </c>
      <c r="F9">
        <v>0</v>
      </c>
      <c r="J9" t="b">
        <v>1</v>
      </c>
      <c r="K9" t="s">
        <v>105</v>
      </c>
      <c r="L9" t="e">
        <f ca="1">ModelRef('Cash Flow Risk'!$D$22,1,0,0)+ModelRef('Cash Flow Risk'!$D$46,1,0,-1)</f>
        <v>#NAME?</v>
      </c>
    </row>
    <row r="10" spans="1:24" x14ac:dyDescent="0.35">
      <c r="A10" t="e">
        <f ca="1">ModelRef('Cash Flow Risk'!$C$47,1,0,0)</f>
        <v>#NAME?</v>
      </c>
      <c r="B10">
        <v>0</v>
      </c>
      <c r="C10">
        <v>3</v>
      </c>
      <c r="F10">
        <v>0</v>
      </c>
      <c r="J10" t="b">
        <v>1</v>
      </c>
      <c r="K10" t="s">
        <v>93</v>
      </c>
      <c r="L10" t="e">
        <f ca="1">ModelRef('Cash Flow Risk'!$C$47,1,0,0)</f>
        <v>#NAME?</v>
      </c>
      <c r="N10" t="s">
        <v>94</v>
      </c>
      <c r="O10" t="s">
        <v>95</v>
      </c>
      <c r="P10" t="e">
        <f ca="1">ModelRef('Cash Flow Risk'!$C$47,1,0,0)</f>
        <v>#NAME?</v>
      </c>
    </row>
    <row r="11" spans="1:24" x14ac:dyDescent="0.35">
      <c r="A11" t="e">
        <f ca="1">ModelRef('Cash Flow Risk'!$C$23,1,0,0)</f>
        <v>#NAME?</v>
      </c>
      <c r="B11">
        <v>0</v>
      </c>
      <c r="C11">
        <v>3</v>
      </c>
      <c r="F11">
        <v>0</v>
      </c>
      <c r="J11" t="b">
        <v>1</v>
      </c>
      <c r="K11" t="s">
        <v>106</v>
      </c>
      <c r="L11" t="e">
        <f ca="1">ModelRef('Cash Flow Risk'!$C$23,1,0,0)+ModelRef('Cash Flow Risk'!$C$47,1,0,-1)</f>
        <v>#NAME?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7"/>
  <sheetViews>
    <sheetView tabSelected="1" zoomScale="130" zoomScaleNormal="130" workbookViewId="0">
      <selection sqref="A1:A23"/>
    </sheetView>
  </sheetViews>
  <sheetFormatPr defaultRowHeight="14.5" x14ac:dyDescent="0.35"/>
  <cols>
    <col min="2" max="2" width="32.26953125" style="1" customWidth="1"/>
    <col min="3" max="3" width="11.7265625" customWidth="1"/>
    <col min="4" max="14" width="11.08984375" customWidth="1"/>
    <col min="15" max="23" width="11.6328125" bestFit="1" customWidth="1"/>
  </cols>
  <sheetData>
    <row r="1" spans="1:23" ht="15" thickBot="1" x14ac:dyDescent="0.4">
      <c r="A1" s="98" t="s">
        <v>18</v>
      </c>
      <c r="B1" s="96" t="s">
        <v>17</v>
      </c>
      <c r="C1" s="97"/>
      <c r="J1" s="5"/>
    </row>
    <row r="2" spans="1:23" ht="15" thickBot="1" x14ac:dyDescent="0.4">
      <c r="A2" s="99"/>
      <c r="B2" s="59" t="s">
        <v>19</v>
      </c>
      <c r="C2" s="89">
        <v>0.1</v>
      </c>
      <c r="E2" s="33" t="s">
        <v>25</v>
      </c>
      <c r="F2" s="7" t="s">
        <v>26</v>
      </c>
      <c r="G2" s="7" t="s">
        <v>3</v>
      </c>
      <c r="H2" s="8" t="s">
        <v>27</v>
      </c>
    </row>
    <row r="3" spans="1:23" x14ac:dyDescent="0.35">
      <c r="A3" s="99"/>
      <c r="B3" s="60" t="s">
        <v>20</v>
      </c>
      <c r="C3" s="41" t="e">
        <f ca="1">_xll.RiskTriang(F3,G3,H3,_xll.RiskName(B3),_xll.RiskStatic(G3))</f>
        <v>#NAME?</v>
      </c>
      <c r="E3" s="6" t="s">
        <v>7</v>
      </c>
      <c r="F3" s="4">
        <v>500000</v>
      </c>
      <c r="G3" s="4">
        <v>750000</v>
      </c>
      <c r="H3" s="9">
        <v>1000000</v>
      </c>
    </row>
    <row r="4" spans="1:23" x14ac:dyDescent="0.35">
      <c r="A4" s="99"/>
      <c r="B4" s="60" t="s">
        <v>21</v>
      </c>
      <c r="C4" s="41" t="e">
        <f ca="1">_xll.RiskPert(F4,G4,H4,_xll.RiskName(B4),_xll.RiskStatic(G4))</f>
        <v>#NAME?</v>
      </c>
      <c r="E4" s="6" t="s">
        <v>2</v>
      </c>
      <c r="F4" s="4">
        <v>200000</v>
      </c>
      <c r="G4" s="4">
        <v>250000</v>
      </c>
      <c r="H4" s="9">
        <v>350000</v>
      </c>
    </row>
    <row r="5" spans="1:23" x14ac:dyDescent="0.35">
      <c r="A5" s="99"/>
      <c r="B5" s="60" t="s">
        <v>22</v>
      </c>
      <c r="C5" s="49" t="e">
        <f ca="1">_xll.RiskNormalAlt(0.1,F5,0.9,H5,_xll.RiskName(B5),_xll.RiskStatic(G5))</f>
        <v>#NAME?</v>
      </c>
      <c r="E5" s="6" t="s">
        <v>8</v>
      </c>
      <c r="F5" s="4">
        <v>125000</v>
      </c>
      <c r="G5" s="4">
        <v>150000</v>
      </c>
      <c r="H5" s="9">
        <v>175000</v>
      </c>
    </row>
    <row r="6" spans="1:23" ht="15" thickBot="1" x14ac:dyDescent="0.4">
      <c r="A6" s="99"/>
      <c r="B6" s="60" t="s">
        <v>23</v>
      </c>
      <c r="C6" s="42" t="e">
        <f ca="1">_xll.RiskLognormAlt(0.1,F6,"mu",G6,0.9,H6,_xll.RiskName(B6),_xll.RiskStatic(G6))</f>
        <v>#NAME?</v>
      </c>
      <c r="E6" s="30" t="s">
        <v>9</v>
      </c>
      <c r="F6" s="31">
        <v>0.25</v>
      </c>
      <c r="G6" s="31">
        <v>0.5</v>
      </c>
      <c r="H6" s="32">
        <v>1</v>
      </c>
    </row>
    <row r="7" spans="1:23" ht="15" thickBot="1" x14ac:dyDescent="0.4">
      <c r="A7" s="99"/>
      <c r="B7" s="61" t="s">
        <v>24</v>
      </c>
      <c r="C7" s="43">
        <v>0.25</v>
      </c>
    </row>
    <row r="8" spans="1:23" ht="15" thickBot="1" x14ac:dyDescent="0.4">
      <c r="A8" s="99"/>
      <c r="D8" s="3"/>
      <c r="E8" s="3"/>
      <c r="F8" s="3"/>
      <c r="G8" s="3"/>
      <c r="H8" s="3"/>
      <c r="I8" s="3"/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thickBot="1" x14ac:dyDescent="0.4">
      <c r="A9" s="99"/>
      <c r="B9" s="8" t="s">
        <v>28</v>
      </c>
      <c r="C9" s="7">
        <v>0</v>
      </c>
      <c r="D9" s="7">
        <f t="shared" ref="D9:W9" si="0">C9+1</f>
        <v>1</v>
      </c>
      <c r="E9" s="7">
        <f t="shared" si="0"/>
        <v>2</v>
      </c>
      <c r="F9" s="7">
        <f t="shared" si="0"/>
        <v>3</v>
      </c>
      <c r="G9" s="7">
        <f t="shared" si="0"/>
        <v>4</v>
      </c>
      <c r="H9" s="7">
        <f t="shared" si="0"/>
        <v>5</v>
      </c>
      <c r="I9" s="7">
        <f t="shared" si="0"/>
        <v>6</v>
      </c>
      <c r="J9" s="7">
        <f t="shared" si="0"/>
        <v>7</v>
      </c>
      <c r="K9" s="7">
        <f t="shared" si="0"/>
        <v>8</v>
      </c>
      <c r="L9" s="7">
        <f t="shared" si="0"/>
        <v>9</v>
      </c>
      <c r="M9" s="7">
        <f t="shared" si="0"/>
        <v>10</v>
      </c>
      <c r="N9" s="7">
        <f t="shared" si="0"/>
        <v>11</v>
      </c>
      <c r="O9" s="7">
        <f t="shared" si="0"/>
        <v>12</v>
      </c>
      <c r="P9" s="7">
        <f t="shared" si="0"/>
        <v>13</v>
      </c>
      <c r="Q9" s="7">
        <f t="shared" si="0"/>
        <v>14</v>
      </c>
      <c r="R9" s="7">
        <f t="shared" si="0"/>
        <v>15</v>
      </c>
      <c r="S9" s="7">
        <f t="shared" si="0"/>
        <v>16</v>
      </c>
      <c r="T9" s="7">
        <f t="shared" si="0"/>
        <v>17</v>
      </c>
      <c r="U9" s="7">
        <f t="shared" si="0"/>
        <v>18</v>
      </c>
      <c r="V9" s="7">
        <f t="shared" si="0"/>
        <v>19</v>
      </c>
      <c r="W9" s="8">
        <f t="shared" si="0"/>
        <v>20</v>
      </c>
    </row>
    <row r="10" spans="1:23" x14ac:dyDescent="0.35">
      <c r="A10" s="99"/>
      <c r="B10" s="60" t="s">
        <v>10</v>
      </c>
      <c r="C10" s="34" t="e">
        <f t="array" aca="1" ref="C10:W10" ca="1">TRANSPOSE(MarketData!B52:B72)</f>
        <v>#NAME?</v>
      </c>
      <c r="D10" s="34" t="e">
        <f ca="1"/>
        <v>#NAME?</v>
      </c>
      <c r="E10" s="34" t="e">
        <f ca="1"/>
        <v>#NAME?</v>
      </c>
      <c r="F10" s="34" t="e">
        <f ca="1"/>
        <v>#NAME?</v>
      </c>
      <c r="G10" s="34" t="e">
        <f ca="1"/>
        <v>#NAME?</v>
      </c>
      <c r="H10" s="34" t="e">
        <f ca="1"/>
        <v>#NAME?</v>
      </c>
      <c r="I10" s="34" t="e">
        <f ca="1"/>
        <v>#NAME?</v>
      </c>
      <c r="J10" s="34" t="e">
        <f ca="1"/>
        <v>#NAME?</v>
      </c>
      <c r="K10" s="34" t="e">
        <f ca="1"/>
        <v>#NAME?</v>
      </c>
      <c r="L10" s="34" t="e">
        <f ca="1"/>
        <v>#NAME?</v>
      </c>
      <c r="M10" s="34" t="e">
        <f ca="1"/>
        <v>#NAME?</v>
      </c>
      <c r="N10" s="34" t="e">
        <f ca="1"/>
        <v>#NAME?</v>
      </c>
      <c r="O10" s="34" t="e">
        <f ca="1"/>
        <v>#NAME?</v>
      </c>
      <c r="P10" s="34" t="e">
        <f ca="1"/>
        <v>#NAME?</v>
      </c>
      <c r="Q10" s="34" t="e">
        <f ca="1"/>
        <v>#NAME?</v>
      </c>
      <c r="R10" s="34" t="e">
        <f ca="1"/>
        <v>#NAME?</v>
      </c>
      <c r="S10" s="34" t="e">
        <f ca="1"/>
        <v>#NAME?</v>
      </c>
      <c r="T10" s="34" t="e">
        <f ca="1"/>
        <v>#NAME?</v>
      </c>
      <c r="U10" s="34" t="e">
        <f ca="1"/>
        <v>#NAME?</v>
      </c>
      <c r="V10" s="34" t="e">
        <f ca="1"/>
        <v>#NAME?</v>
      </c>
      <c r="W10" s="35" t="e">
        <f ca="1"/>
        <v>#NAME?</v>
      </c>
    </row>
    <row r="11" spans="1:23" x14ac:dyDescent="0.35">
      <c r="A11" s="99"/>
      <c r="B11" s="60" t="s">
        <v>12</v>
      </c>
      <c r="C11" s="36" t="e">
        <f t="array" aca="1" ref="C11:W11" ca="1">TRANSPOSE(MarketData!C52:C72)</f>
        <v>#NAME?</v>
      </c>
      <c r="D11" s="36" t="e">
        <f ca="1"/>
        <v>#NAME?</v>
      </c>
      <c r="E11" s="36" t="e">
        <f ca="1"/>
        <v>#NAME?</v>
      </c>
      <c r="F11" s="36" t="e">
        <f ca="1"/>
        <v>#NAME?</v>
      </c>
      <c r="G11" s="36" t="e">
        <f ca="1"/>
        <v>#NAME?</v>
      </c>
      <c r="H11" s="36" t="e">
        <f ca="1"/>
        <v>#NAME?</v>
      </c>
      <c r="I11" s="36" t="e">
        <f ca="1"/>
        <v>#NAME?</v>
      </c>
      <c r="J11" s="36" t="e">
        <f ca="1"/>
        <v>#NAME?</v>
      </c>
      <c r="K11" s="36" t="e">
        <f ca="1"/>
        <v>#NAME?</v>
      </c>
      <c r="L11" s="36" t="e">
        <f ca="1"/>
        <v>#NAME?</v>
      </c>
      <c r="M11" s="36" t="e">
        <f ca="1"/>
        <v>#NAME?</v>
      </c>
      <c r="N11" s="36" t="e">
        <f ca="1"/>
        <v>#NAME?</v>
      </c>
      <c r="O11" s="36" t="e">
        <f ca="1"/>
        <v>#NAME?</v>
      </c>
      <c r="P11" s="36" t="e">
        <f ca="1"/>
        <v>#NAME?</v>
      </c>
      <c r="Q11" s="36" t="e">
        <f ca="1"/>
        <v>#NAME?</v>
      </c>
      <c r="R11" s="36" t="e">
        <f ca="1"/>
        <v>#NAME?</v>
      </c>
      <c r="S11" s="36" t="e">
        <f ca="1"/>
        <v>#NAME?</v>
      </c>
      <c r="T11" s="36" t="e">
        <f ca="1"/>
        <v>#NAME?</v>
      </c>
      <c r="U11" s="36" t="e">
        <f ca="1"/>
        <v>#NAME?</v>
      </c>
      <c r="V11" s="36" t="e">
        <f ca="1"/>
        <v>#NAME?</v>
      </c>
      <c r="W11" s="52" t="e">
        <f ca="1"/>
        <v>#NAME?</v>
      </c>
    </row>
    <row r="12" spans="1:23" ht="15" thickBot="1" x14ac:dyDescent="0.4">
      <c r="A12" s="99"/>
      <c r="B12" s="61" t="s">
        <v>11</v>
      </c>
      <c r="C12" s="37" t="e">
        <f t="array" aca="1" ref="C12:W12" ca="1">TRANSPOSE(MarketData!D52:D72)</f>
        <v>#NAME?</v>
      </c>
      <c r="D12" s="37" t="e">
        <f ca="1"/>
        <v>#NAME?</v>
      </c>
      <c r="E12" s="37" t="e">
        <f ca="1"/>
        <v>#NAME?</v>
      </c>
      <c r="F12" s="37" t="e">
        <f ca="1"/>
        <v>#NAME?</v>
      </c>
      <c r="G12" s="37" t="e">
        <f ca="1"/>
        <v>#NAME?</v>
      </c>
      <c r="H12" s="37" t="e">
        <f ca="1"/>
        <v>#NAME?</v>
      </c>
      <c r="I12" s="37" t="e">
        <f ca="1"/>
        <v>#NAME?</v>
      </c>
      <c r="J12" s="37" t="e">
        <f ca="1"/>
        <v>#NAME?</v>
      </c>
      <c r="K12" s="37" t="e">
        <f ca="1"/>
        <v>#NAME?</v>
      </c>
      <c r="L12" s="37" t="e">
        <f ca="1"/>
        <v>#NAME?</v>
      </c>
      <c r="M12" s="37" t="e">
        <f ca="1"/>
        <v>#NAME?</v>
      </c>
      <c r="N12" s="37" t="e">
        <f ca="1"/>
        <v>#NAME?</v>
      </c>
      <c r="O12" s="37" t="e">
        <f ca="1"/>
        <v>#NAME?</v>
      </c>
      <c r="P12" s="37" t="e">
        <f ca="1"/>
        <v>#NAME?</v>
      </c>
      <c r="Q12" s="37" t="e">
        <f ca="1"/>
        <v>#NAME?</v>
      </c>
      <c r="R12" s="37" t="e">
        <f ca="1"/>
        <v>#NAME?</v>
      </c>
      <c r="S12" s="37" t="e">
        <f ca="1"/>
        <v>#NAME?</v>
      </c>
      <c r="T12" s="37" t="e">
        <f ca="1"/>
        <v>#NAME?</v>
      </c>
      <c r="U12" s="37" t="e">
        <f ca="1"/>
        <v>#NAME?</v>
      </c>
      <c r="V12" s="37" t="e">
        <f ca="1"/>
        <v>#NAME?</v>
      </c>
      <c r="W12" s="38" t="e">
        <f ca="1"/>
        <v>#NAME?</v>
      </c>
    </row>
    <row r="13" spans="1:23" ht="15" thickBot="1" x14ac:dyDescent="0.4">
      <c r="A13" s="99"/>
      <c r="D13" s="3"/>
      <c r="E13" s="3"/>
      <c r="F13" s="3"/>
      <c r="G13" s="3"/>
      <c r="H13" s="3"/>
      <c r="I13" s="3"/>
      <c r="J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thickBot="1" x14ac:dyDescent="0.4">
      <c r="A14" s="99"/>
      <c r="B14" s="50" t="s">
        <v>29</v>
      </c>
      <c r="C14" s="58">
        <v>0</v>
      </c>
      <c r="D14" s="58">
        <f t="shared" ref="D14:K14" si="1">C14+1</f>
        <v>1</v>
      </c>
      <c r="E14" s="58">
        <f t="shared" si="1"/>
        <v>2</v>
      </c>
      <c r="F14" s="58">
        <f t="shared" si="1"/>
        <v>3</v>
      </c>
      <c r="G14" s="58">
        <f t="shared" si="1"/>
        <v>4</v>
      </c>
      <c r="H14" s="58">
        <f t="shared" si="1"/>
        <v>5</v>
      </c>
      <c r="I14" s="58">
        <f t="shared" si="1"/>
        <v>6</v>
      </c>
      <c r="J14" s="58">
        <f t="shared" si="1"/>
        <v>7</v>
      </c>
      <c r="K14" s="58">
        <f t="shared" si="1"/>
        <v>8</v>
      </c>
      <c r="L14" s="58">
        <f>K14+1</f>
        <v>9</v>
      </c>
      <c r="M14" s="58">
        <f t="shared" ref="M14:W14" si="2">L14+1</f>
        <v>10</v>
      </c>
      <c r="N14" s="58">
        <f t="shared" si="2"/>
        <v>11</v>
      </c>
      <c r="O14" s="58">
        <f t="shared" si="2"/>
        <v>12</v>
      </c>
      <c r="P14" s="58">
        <f t="shared" si="2"/>
        <v>13</v>
      </c>
      <c r="Q14" s="58">
        <f t="shared" si="2"/>
        <v>14</v>
      </c>
      <c r="R14" s="58">
        <f t="shared" si="2"/>
        <v>15</v>
      </c>
      <c r="S14" s="58">
        <f t="shared" si="2"/>
        <v>16</v>
      </c>
      <c r="T14" s="58">
        <f t="shared" si="2"/>
        <v>17</v>
      </c>
      <c r="U14" s="58">
        <f t="shared" si="2"/>
        <v>18</v>
      </c>
      <c r="V14" s="58">
        <f t="shared" si="2"/>
        <v>19</v>
      </c>
      <c r="W14" s="58">
        <f t="shared" si="2"/>
        <v>20</v>
      </c>
    </row>
    <row r="15" spans="1:23" x14ac:dyDescent="0.35">
      <c r="A15" s="99"/>
      <c r="B15" s="59" t="s">
        <v>1</v>
      </c>
      <c r="C15" s="53" t="e">
        <f ca="1">-SUM($C$3:$C$4)</f>
        <v>#NAME?</v>
      </c>
      <c r="D15" s="53"/>
      <c r="E15" s="5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5"/>
    </row>
    <row r="16" spans="1:23" x14ac:dyDescent="0.35">
      <c r="A16" s="99"/>
      <c r="B16" s="60" t="s">
        <v>10</v>
      </c>
      <c r="C16" s="34" t="e">
        <f ca="1">C10</f>
        <v>#NAME?</v>
      </c>
      <c r="D16" s="34" t="e">
        <f t="shared" ref="D16:W16" ca="1" si="3">D10</f>
        <v>#NAME?</v>
      </c>
      <c r="E16" s="34" t="e">
        <f t="shared" ca="1" si="3"/>
        <v>#NAME?</v>
      </c>
      <c r="F16" s="34" t="e">
        <f t="shared" ca="1" si="3"/>
        <v>#NAME?</v>
      </c>
      <c r="G16" s="34" t="e">
        <f t="shared" ca="1" si="3"/>
        <v>#NAME?</v>
      </c>
      <c r="H16" s="34" t="e">
        <f t="shared" ca="1" si="3"/>
        <v>#NAME?</v>
      </c>
      <c r="I16" s="34" t="e">
        <f t="shared" ca="1" si="3"/>
        <v>#NAME?</v>
      </c>
      <c r="J16" s="34" t="e">
        <f t="shared" ca="1" si="3"/>
        <v>#NAME?</v>
      </c>
      <c r="K16" s="34" t="e">
        <f t="shared" ca="1" si="3"/>
        <v>#NAME?</v>
      </c>
      <c r="L16" s="34" t="e">
        <f t="shared" ca="1" si="3"/>
        <v>#NAME?</v>
      </c>
      <c r="M16" s="34" t="e">
        <f t="shared" ca="1" si="3"/>
        <v>#NAME?</v>
      </c>
      <c r="N16" s="34" t="e">
        <f t="shared" ca="1" si="3"/>
        <v>#NAME?</v>
      </c>
      <c r="O16" s="34" t="e">
        <f t="shared" ca="1" si="3"/>
        <v>#NAME?</v>
      </c>
      <c r="P16" s="34" t="e">
        <f t="shared" ca="1" si="3"/>
        <v>#NAME?</v>
      </c>
      <c r="Q16" s="34" t="e">
        <f t="shared" ca="1" si="3"/>
        <v>#NAME?</v>
      </c>
      <c r="R16" s="34" t="e">
        <f t="shared" ca="1" si="3"/>
        <v>#NAME?</v>
      </c>
      <c r="S16" s="34" t="e">
        <f t="shared" ca="1" si="3"/>
        <v>#NAME?</v>
      </c>
      <c r="T16" s="34" t="e">
        <f t="shared" ca="1" si="3"/>
        <v>#NAME?</v>
      </c>
      <c r="U16" s="34" t="e">
        <f t="shared" ca="1" si="3"/>
        <v>#NAME?</v>
      </c>
      <c r="V16" s="34" t="e">
        <f t="shared" ca="1" si="3"/>
        <v>#NAME?</v>
      </c>
      <c r="W16" s="35" t="e">
        <f t="shared" ca="1" si="3"/>
        <v>#NAME?</v>
      </c>
    </row>
    <row r="17" spans="1:23" x14ac:dyDescent="0.35">
      <c r="A17" s="99"/>
      <c r="B17" s="60" t="s">
        <v>12</v>
      </c>
      <c r="C17" s="36" t="e">
        <f ca="1">C11</f>
        <v>#NAME?</v>
      </c>
      <c r="D17" s="36" t="e">
        <f t="shared" ref="D17:W17" ca="1" si="4">D11</f>
        <v>#NAME?</v>
      </c>
      <c r="E17" s="36" t="e">
        <f t="shared" ca="1" si="4"/>
        <v>#NAME?</v>
      </c>
      <c r="F17" s="36" t="e">
        <f t="shared" ca="1" si="4"/>
        <v>#NAME?</v>
      </c>
      <c r="G17" s="36" t="e">
        <f t="shared" ca="1" si="4"/>
        <v>#NAME?</v>
      </c>
      <c r="H17" s="36" t="e">
        <f t="shared" ca="1" si="4"/>
        <v>#NAME?</v>
      </c>
      <c r="I17" s="36" t="e">
        <f t="shared" ca="1" si="4"/>
        <v>#NAME?</v>
      </c>
      <c r="J17" s="36" t="e">
        <f t="shared" ca="1" si="4"/>
        <v>#NAME?</v>
      </c>
      <c r="K17" s="36" t="e">
        <f t="shared" ca="1" si="4"/>
        <v>#NAME?</v>
      </c>
      <c r="L17" s="36" t="e">
        <f t="shared" ca="1" si="4"/>
        <v>#NAME?</v>
      </c>
      <c r="M17" s="36" t="e">
        <f t="shared" ca="1" si="4"/>
        <v>#NAME?</v>
      </c>
      <c r="N17" s="36" t="e">
        <f t="shared" ca="1" si="4"/>
        <v>#NAME?</v>
      </c>
      <c r="O17" s="36" t="e">
        <f t="shared" ca="1" si="4"/>
        <v>#NAME?</v>
      </c>
      <c r="P17" s="36" t="e">
        <f t="shared" ca="1" si="4"/>
        <v>#NAME?</v>
      </c>
      <c r="Q17" s="36" t="e">
        <f t="shared" ca="1" si="4"/>
        <v>#NAME?</v>
      </c>
      <c r="R17" s="36" t="e">
        <f t="shared" ca="1" si="4"/>
        <v>#NAME?</v>
      </c>
      <c r="S17" s="36" t="e">
        <f t="shared" ca="1" si="4"/>
        <v>#NAME?</v>
      </c>
      <c r="T17" s="36" t="e">
        <f t="shared" ca="1" si="4"/>
        <v>#NAME?</v>
      </c>
      <c r="U17" s="36" t="e">
        <f t="shared" ca="1" si="4"/>
        <v>#NAME?</v>
      </c>
      <c r="V17" s="36" t="e">
        <f t="shared" ca="1" si="4"/>
        <v>#NAME?</v>
      </c>
      <c r="W17" s="52" t="e">
        <f t="shared" ca="1" si="4"/>
        <v>#NAME?</v>
      </c>
    </row>
    <row r="18" spans="1:23" x14ac:dyDescent="0.35">
      <c r="A18" s="99"/>
      <c r="B18" s="60" t="s">
        <v>11</v>
      </c>
      <c r="C18" s="36" t="e">
        <f ca="1">C12</f>
        <v>#NAME?</v>
      </c>
      <c r="D18" s="36" t="e">
        <f t="shared" ref="D18:W18" ca="1" si="5">D12</f>
        <v>#NAME?</v>
      </c>
      <c r="E18" s="36" t="e">
        <f t="shared" ca="1" si="5"/>
        <v>#NAME?</v>
      </c>
      <c r="F18" s="36" t="e">
        <f t="shared" ca="1" si="5"/>
        <v>#NAME?</v>
      </c>
      <c r="G18" s="36" t="e">
        <f t="shared" ca="1" si="5"/>
        <v>#NAME?</v>
      </c>
      <c r="H18" s="36" t="e">
        <f t="shared" ca="1" si="5"/>
        <v>#NAME?</v>
      </c>
      <c r="I18" s="36" t="e">
        <f t="shared" ca="1" si="5"/>
        <v>#NAME?</v>
      </c>
      <c r="J18" s="36" t="e">
        <f t="shared" ca="1" si="5"/>
        <v>#NAME?</v>
      </c>
      <c r="K18" s="36" t="e">
        <f t="shared" ca="1" si="5"/>
        <v>#NAME?</v>
      </c>
      <c r="L18" s="36" t="e">
        <f t="shared" ca="1" si="5"/>
        <v>#NAME?</v>
      </c>
      <c r="M18" s="36" t="e">
        <f t="shared" ca="1" si="5"/>
        <v>#NAME?</v>
      </c>
      <c r="N18" s="36" t="e">
        <f t="shared" ca="1" si="5"/>
        <v>#NAME?</v>
      </c>
      <c r="O18" s="36" t="e">
        <f t="shared" ca="1" si="5"/>
        <v>#NAME?</v>
      </c>
      <c r="P18" s="36" t="e">
        <f t="shared" ca="1" si="5"/>
        <v>#NAME?</v>
      </c>
      <c r="Q18" s="36" t="e">
        <f t="shared" ca="1" si="5"/>
        <v>#NAME?</v>
      </c>
      <c r="R18" s="36" t="e">
        <f t="shared" ca="1" si="5"/>
        <v>#NAME?</v>
      </c>
      <c r="S18" s="36" t="e">
        <f t="shared" ca="1" si="5"/>
        <v>#NAME?</v>
      </c>
      <c r="T18" s="36" t="e">
        <f t="shared" ca="1" si="5"/>
        <v>#NAME?</v>
      </c>
      <c r="U18" s="36" t="e">
        <f t="shared" ca="1" si="5"/>
        <v>#NAME?</v>
      </c>
      <c r="V18" s="36" t="e">
        <f t="shared" ca="1" si="5"/>
        <v>#NAME?</v>
      </c>
      <c r="W18" s="52" t="e">
        <f t="shared" ca="1" si="5"/>
        <v>#NAME?</v>
      </c>
    </row>
    <row r="19" spans="1:23" x14ac:dyDescent="0.35">
      <c r="A19" s="99"/>
      <c r="B19" s="60" t="s">
        <v>30</v>
      </c>
      <c r="C19" s="39" t="e">
        <f ca="1">C16*C18</f>
        <v>#NAME?</v>
      </c>
      <c r="D19" s="39" t="e">
        <f t="shared" ref="D19:W19" ca="1" si="6">D16*D18</f>
        <v>#NAME?</v>
      </c>
      <c r="E19" s="39" t="e">
        <f t="shared" ca="1" si="6"/>
        <v>#NAME?</v>
      </c>
      <c r="F19" s="39" t="e">
        <f t="shared" ca="1" si="6"/>
        <v>#NAME?</v>
      </c>
      <c r="G19" s="39" t="e">
        <f t="shared" ca="1" si="6"/>
        <v>#NAME?</v>
      </c>
      <c r="H19" s="39" t="e">
        <f t="shared" ca="1" si="6"/>
        <v>#NAME?</v>
      </c>
      <c r="I19" s="39" t="e">
        <f t="shared" ca="1" si="6"/>
        <v>#NAME?</v>
      </c>
      <c r="J19" s="39" t="e">
        <f t="shared" ca="1" si="6"/>
        <v>#NAME?</v>
      </c>
      <c r="K19" s="39" t="e">
        <f t="shared" ca="1" si="6"/>
        <v>#NAME?</v>
      </c>
      <c r="L19" s="39" t="e">
        <f t="shared" ca="1" si="6"/>
        <v>#NAME?</v>
      </c>
      <c r="M19" s="39" t="e">
        <f t="shared" ca="1" si="6"/>
        <v>#NAME?</v>
      </c>
      <c r="N19" s="39" t="e">
        <f t="shared" ca="1" si="6"/>
        <v>#NAME?</v>
      </c>
      <c r="O19" s="39" t="e">
        <f t="shared" ca="1" si="6"/>
        <v>#NAME?</v>
      </c>
      <c r="P19" s="39" t="e">
        <f t="shared" ca="1" si="6"/>
        <v>#NAME?</v>
      </c>
      <c r="Q19" s="39" t="e">
        <f t="shared" ca="1" si="6"/>
        <v>#NAME?</v>
      </c>
      <c r="R19" s="39" t="e">
        <f t="shared" ca="1" si="6"/>
        <v>#NAME?</v>
      </c>
      <c r="S19" s="39" t="e">
        <f t="shared" ca="1" si="6"/>
        <v>#NAME?</v>
      </c>
      <c r="T19" s="39" t="e">
        <f t="shared" ca="1" si="6"/>
        <v>#NAME?</v>
      </c>
      <c r="U19" s="39" t="e">
        <f t="shared" ca="1" si="6"/>
        <v>#NAME?</v>
      </c>
      <c r="V19" s="39" t="e">
        <f t="shared" ca="1" si="6"/>
        <v>#NAME?</v>
      </c>
      <c r="W19" s="56" t="e">
        <f t="shared" ca="1" si="6"/>
        <v>#NAME?</v>
      </c>
    </row>
    <row r="20" spans="1:23" x14ac:dyDescent="0.35">
      <c r="A20" s="99"/>
      <c r="B20" s="60" t="s">
        <v>0</v>
      </c>
      <c r="C20" s="39" t="e">
        <f ca="1">-$C$5-C16*($C$6+C17)</f>
        <v>#NAME?</v>
      </c>
      <c r="D20" s="39" t="e">
        <f t="shared" ref="D20:W20" ca="1" si="7">-$C$5-D16*($C$6+D17)</f>
        <v>#NAME?</v>
      </c>
      <c r="E20" s="39" t="e">
        <f t="shared" ca="1" si="7"/>
        <v>#NAME?</v>
      </c>
      <c r="F20" s="39" t="e">
        <f t="shared" ca="1" si="7"/>
        <v>#NAME?</v>
      </c>
      <c r="G20" s="39" t="e">
        <f t="shared" ca="1" si="7"/>
        <v>#NAME?</v>
      </c>
      <c r="H20" s="39" t="e">
        <f t="shared" ca="1" si="7"/>
        <v>#NAME?</v>
      </c>
      <c r="I20" s="39" t="e">
        <f t="shared" ca="1" si="7"/>
        <v>#NAME?</v>
      </c>
      <c r="J20" s="39" t="e">
        <f t="shared" ca="1" si="7"/>
        <v>#NAME?</v>
      </c>
      <c r="K20" s="39" t="e">
        <f t="shared" ca="1" si="7"/>
        <v>#NAME?</v>
      </c>
      <c r="L20" s="39" t="e">
        <f t="shared" ca="1" si="7"/>
        <v>#NAME?</v>
      </c>
      <c r="M20" s="39" t="e">
        <f t="shared" ca="1" si="7"/>
        <v>#NAME?</v>
      </c>
      <c r="N20" s="39" t="e">
        <f t="shared" ca="1" si="7"/>
        <v>#NAME?</v>
      </c>
      <c r="O20" s="39" t="e">
        <f t="shared" ca="1" si="7"/>
        <v>#NAME?</v>
      </c>
      <c r="P20" s="39" t="e">
        <f t="shared" ca="1" si="7"/>
        <v>#NAME?</v>
      </c>
      <c r="Q20" s="39" t="e">
        <f t="shared" ca="1" si="7"/>
        <v>#NAME?</v>
      </c>
      <c r="R20" s="39" t="e">
        <f t="shared" ca="1" si="7"/>
        <v>#NAME?</v>
      </c>
      <c r="S20" s="39" t="e">
        <f t="shared" ca="1" si="7"/>
        <v>#NAME?</v>
      </c>
      <c r="T20" s="39" t="e">
        <f t="shared" ca="1" si="7"/>
        <v>#NAME?</v>
      </c>
      <c r="U20" s="39" t="e">
        <f t="shared" ca="1" si="7"/>
        <v>#NAME?</v>
      </c>
      <c r="V20" s="39" t="e">
        <f t="shared" ca="1" si="7"/>
        <v>#NAME?</v>
      </c>
      <c r="W20" s="56" t="e">
        <f t="shared" ca="1" si="7"/>
        <v>#NAME?</v>
      </c>
    </row>
    <row r="21" spans="1:23" x14ac:dyDescent="0.35">
      <c r="A21" s="99"/>
      <c r="B21" s="60" t="s">
        <v>24</v>
      </c>
      <c r="C21" s="39" t="e">
        <f ca="1">-(SUM(C19:C20)&gt;0)*SUM(C19:C20)*$C$7</f>
        <v>#NAME?</v>
      </c>
      <c r="D21" s="39" t="e">
        <f t="shared" ref="D21:W21" ca="1" si="8">-(SUM(D19:D20)&gt;0)*SUM(D19:D20)*$C$7</f>
        <v>#NAME?</v>
      </c>
      <c r="E21" s="39" t="e">
        <f t="shared" ca="1" si="8"/>
        <v>#NAME?</v>
      </c>
      <c r="F21" s="39" t="e">
        <f t="shared" ca="1" si="8"/>
        <v>#NAME?</v>
      </c>
      <c r="G21" s="39" t="e">
        <f t="shared" ca="1" si="8"/>
        <v>#NAME?</v>
      </c>
      <c r="H21" s="39" t="e">
        <f t="shared" ca="1" si="8"/>
        <v>#NAME?</v>
      </c>
      <c r="I21" s="39" t="e">
        <f t="shared" ca="1" si="8"/>
        <v>#NAME?</v>
      </c>
      <c r="J21" s="39" t="e">
        <f t="shared" ca="1" si="8"/>
        <v>#NAME?</v>
      </c>
      <c r="K21" s="39" t="e">
        <f t="shared" ca="1" si="8"/>
        <v>#NAME?</v>
      </c>
      <c r="L21" s="39" t="e">
        <f t="shared" ca="1" si="8"/>
        <v>#NAME?</v>
      </c>
      <c r="M21" s="39" t="e">
        <f t="shared" ca="1" si="8"/>
        <v>#NAME?</v>
      </c>
      <c r="N21" s="39" t="e">
        <f t="shared" ca="1" si="8"/>
        <v>#NAME?</v>
      </c>
      <c r="O21" s="39" t="e">
        <f t="shared" ca="1" si="8"/>
        <v>#NAME?</v>
      </c>
      <c r="P21" s="39" t="e">
        <f t="shared" ca="1" si="8"/>
        <v>#NAME?</v>
      </c>
      <c r="Q21" s="39" t="e">
        <f t="shared" ca="1" si="8"/>
        <v>#NAME?</v>
      </c>
      <c r="R21" s="39" t="e">
        <f t="shared" ca="1" si="8"/>
        <v>#NAME?</v>
      </c>
      <c r="S21" s="39" t="e">
        <f t="shared" ca="1" si="8"/>
        <v>#NAME?</v>
      </c>
      <c r="T21" s="39" t="e">
        <f t="shared" ca="1" si="8"/>
        <v>#NAME?</v>
      </c>
      <c r="U21" s="39" t="e">
        <f t="shared" ca="1" si="8"/>
        <v>#NAME?</v>
      </c>
      <c r="V21" s="39" t="e">
        <f t="shared" ca="1" si="8"/>
        <v>#NAME?</v>
      </c>
      <c r="W21" s="56" t="e">
        <f t="shared" ca="1" si="8"/>
        <v>#NAME?</v>
      </c>
    </row>
    <row r="22" spans="1:23" ht="15" thickBot="1" x14ac:dyDescent="0.4">
      <c r="A22" s="99"/>
      <c r="B22" s="61" t="s">
        <v>31</v>
      </c>
      <c r="C22" s="40" t="e">
        <f ca="1">_xll.RiskOutput(,B22,1)+C15+SUM(C19:C21)</f>
        <v>#NAME?</v>
      </c>
      <c r="D22" s="40" t="e">
        <f ca="1">_xll.RiskOutput(,B22,2)+D15+SUM(D19:D21)</f>
        <v>#NAME?</v>
      </c>
      <c r="E22" s="40" t="e">
        <f ca="1">_xll.RiskOutput(,B22,3)+E15+SUM(E19:E21)</f>
        <v>#NAME?</v>
      </c>
      <c r="F22" s="40" t="e">
        <f ca="1">_xll.RiskOutput(,B22,4)+F15+SUM(F19:F21)</f>
        <v>#NAME?</v>
      </c>
      <c r="G22" s="40" t="e">
        <f ca="1">_xll.RiskOutput(,B22,5)+G15+SUM(G19:G21)</f>
        <v>#NAME?</v>
      </c>
      <c r="H22" s="40" t="e">
        <f ca="1">_xll.RiskOutput(,B22,6)+H15+SUM(H19:H21)</f>
        <v>#NAME?</v>
      </c>
      <c r="I22" s="40" t="e">
        <f ca="1">_xll.RiskOutput(,B22,7)+I15+SUM(I19:I21)</f>
        <v>#NAME?</v>
      </c>
      <c r="J22" s="40" t="e">
        <f ca="1">_xll.RiskOutput(,B22,8)+J15+SUM(J19:J21)</f>
        <v>#NAME?</v>
      </c>
      <c r="K22" s="40" t="e">
        <f ca="1">_xll.RiskOutput(,B22,9)+K15+SUM(K19:K21)</f>
        <v>#NAME?</v>
      </c>
      <c r="L22" s="40" t="e">
        <f ca="1">_xll.RiskOutput(,B22,10)+L15+SUM(L19:L21)</f>
        <v>#NAME?</v>
      </c>
      <c r="M22" s="40" t="e">
        <f ca="1">_xll.RiskOutput(,B22,11)+M15+SUM(M19:M21)</f>
        <v>#NAME?</v>
      </c>
      <c r="N22" s="40" t="e">
        <f ca="1">_xll.RiskOutput(,B22,12)+N15+SUM(N19:N21)</f>
        <v>#NAME?</v>
      </c>
      <c r="O22" s="40" t="e">
        <f ca="1">_xll.RiskOutput(,B22,13)+O15+SUM(O19:O21)</f>
        <v>#NAME?</v>
      </c>
      <c r="P22" s="40" t="e">
        <f ca="1">_xll.RiskOutput(,B22,14)+P15+SUM(P19:P21)</f>
        <v>#NAME?</v>
      </c>
      <c r="Q22" s="40" t="e">
        <f ca="1">_xll.RiskOutput(,B22,15)+Q15+SUM(Q19:Q21)</f>
        <v>#NAME?</v>
      </c>
      <c r="R22" s="40" t="e">
        <f ca="1">_xll.RiskOutput(,B22,16)+R15+SUM(R19:R21)</f>
        <v>#NAME?</v>
      </c>
      <c r="S22" s="40" t="e">
        <f ca="1">_xll.RiskOutput(,B22,17)+S15+SUM(S19:S21)</f>
        <v>#NAME?</v>
      </c>
      <c r="T22" s="40" t="e">
        <f ca="1">_xll.RiskOutput(,B22,18)+T15+SUM(T19:T21)</f>
        <v>#NAME?</v>
      </c>
      <c r="U22" s="40" t="e">
        <f ca="1">_xll.RiskOutput(,B22,19)+U15+SUM(U19:U21)</f>
        <v>#NAME?</v>
      </c>
      <c r="V22" s="40" t="e">
        <f ca="1">_xll.RiskOutput(,B22,20)+V15+SUM(V19:V21)</f>
        <v>#NAME?</v>
      </c>
      <c r="W22" s="57" t="e">
        <f ca="1">_xll.RiskOutput(,B22,21)+W15+SUM(W19:W21)</f>
        <v>#NAME?</v>
      </c>
    </row>
    <row r="23" spans="1:23" ht="15" thickBot="1" x14ac:dyDescent="0.4">
      <c r="A23" s="100"/>
      <c r="B23" s="62" t="s">
        <v>32</v>
      </c>
      <c r="C23" s="64" t="e">
        <f ca="1">_xll.RiskOutput(B23)+C22+NPV($C$2,D22:W22)</f>
        <v>#NAME?</v>
      </c>
      <c r="D23" s="2"/>
      <c r="E23" s="2"/>
      <c r="F23" s="2"/>
      <c r="G23" s="2"/>
      <c r="H23" s="2"/>
      <c r="I23" s="2"/>
      <c r="J23" s="2"/>
      <c r="K23" s="2"/>
      <c r="L23" s="2"/>
      <c r="M23" s="2"/>
    </row>
    <row r="26" spans="1:23" ht="15" thickBot="1" x14ac:dyDescent="0.4"/>
    <row r="27" spans="1:23" ht="15" customHeight="1" thickBot="1" x14ac:dyDescent="0.4">
      <c r="A27" s="101" t="s">
        <v>36</v>
      </c>
      <c r="B27" s="93" t="s">
        <v>35</v>
      </c>
      <c r="C27" s="95"/>
    </row>
    <row r="28" spans="1:23" x14ac:dyDescent="0.35">
      <c r="A28" s="102"/>
      <c r="B28" s="60" t="s">
        <v>10</v>
      </c>
      <c r="C28" s="51">
        <f>MarketData!G21</f>
        <v>40348.551039257349</v>
      </c>
      <c r="D28" t="s">
        <v>40</v>
      </c>
    </row>
    <row r="29" spans="1:23" x14ac:dyDescent="0.35">
      <c r="A29" s="102"/>
      <c r="B29" s="60" t="s">
        <v>12</v>
      </c>
      <c r="C29" s="63" t="s">
        <v>38</v>
      </c>
      <c r="D29" t="s">
        <v>39</v>
      </c>
    </row>
    <row r="30" spans="1:23" x14ac:dyDescent="0.35">
      <c r="A30" s="102"/>
      <c r="B30" s="60" t="s">
        <v>37</v>
      </c>
      <c r="C30" s="92">
        <v>1.119477693808528E-2</v>
      </c>
      <c r="D30" s="104" t="s">
        <v>42</v>
      </c>
      <c r="E30" s="104"/>
      <c r="F30" s="104"/>
      <c r="G30" s="104"/>
      <c r="H30" s="104"/>
      <c r="I30" s="104"/>
    </row>
    <row r="31" spans="1:23" ht="15" thickBot="1" x14ac:dyDescent="0.4">
      <c r="A31" s="102"/>
      <c r="B31" s="61" t="s">
        <v>11</v>
      </c>
      <c r="C31" s="44">
        <f>MarketData!I21*(1-C30)</f>
        <v>16.057886000375273</v>
      </c>
      <c r="D31" t="s">
        <v>41</v>
      </c>
    </row>
    <row r="32" spans="1:23" ht="15" thickBot="1" x14ac:dyDescent="0.4">
      <c r="A32" s="102"/>
    </row>
    <row r="33" spans="1:23" ht="15" thickBot="1" x14ac:dyDescent="0.4">
      <c r="A33" s="102"/>
      <c r="B33" s="33" t="s">
        <v>33</v>
      </c>
      <c r="C33" s="7">
        <v>0</v>
      </c>
      <c r="D33" s="7">
        <f t="shared" ref="D33:K33" si="9">C33+1</f>
        <v>1</v>
      </c>
      <c r="E33" s="7">
        <f t="shared" si="9"/>
        <v>2</v>
      </c>
      <c r="F33" s="7">
        <f t="shared" si="9"/>
        <v>3</v>
      </c>
      <c r="G33" s="7">
        <f t="shared" si="9"/>
        <v>4</v>
      </c>
      <c r="H33" s="7">
        <f t="shared" si="9"/>
        <v>5</v>
      </c>
      <c r="I33" s="7">
        <f t="shared" si="9"/>
        <v>6</v>
      </c>
      <c r="J33" s="7">
        <f t="shared" si="9"/>
        <v>7</v>
      </c>
      <c r="K33" s="7">
        <f t="shared" si="9"/>
        <v>8</v>
      </c>
      <c r="L33" s="7">
        <f>K33+1</f>
        <v>9</v>
      </c>
      <c r="M33" s="7">
        <f t="shared" ref="M33:W33" si="10">L33+1</f>
        <v>10</v>
      </c>
      <c r="N33" s="7">
        <f t="shared" si="10"/>
        <v>11</v>
      </c>
      <c r="O33" s="7">
        <f t="shared" si="10"/>
        <v>12</v>
      </c>
      <c r="P33" s="7">
        <f t="shared" si="10"/>
        <v>13</v>
      </c>
      <c r="Q33" s="7">
        <f t="shared" si="10"/>
        <v>14</v>
      </c>
      <c r="R33" s="7">
        <f t="shared" si="10"/>
        <v>15</v>
      </c>
      <c r="S33" s="7">
        <f t="shared" si="10"/>
        <v>16</v>
      </c>
      <c r="T33" s="7">
        <f t="shared" si="10"/>
        <v>17</v>
      </c>
      <c r="U33" s="7">
        <f t="shared" si="10"/>
        <v>18</v>
      </c>
      <c r="V33" s="7">
        <f t="shared" si="10"/>
        <v>19</v>
      </c>
      <c r="W33" s="8">
        <f t="shared" si="10"/>
        <v>20</v>
      </c>
    </row>
    <row r="34" spans="1:23" x14ac:dyDescent="0.35">
      <c r="A34" s="102"/>
      <c r="B34" s="60" t="s">
        <v>10</v>
      </c>
      <c r="C34" s="34">
        <f>$C$28</f>
        <v>40348.551039257349</v>
      </c>
      <c r="D34" s="34">
        <f t="shared" ref="D34:W34" si="11">$C$28</f>
        <v>40348.551039257349</v>
      </c>
      <c r="E34" s="34">
        <f t="shared" si="11"/>
        <v>40348.551039257349</v>
      </c>
      <c r="F34" s="34">
        <f t="shared" si="11"/>
        <v>40348.551039257349</v>
      </c>
      <c r="G34" s="34">
        <f t="shared" si="11"/>
        <v>40348.551039257349</v>
      </c>
      <c r="H34" s="34">
        <f t="shared" si="11"/>
        <v>40348.551039257349</v>
      </c>
      <c r="I34" s="34">
        <f t="shared" si="11"/>
        <v>40348.551039257349</v>
      </c>
      <c r="J34" s="34">
        <f t="shared" si="11"/>
        <v>40348.551039257349</v>
      </c>
      <c r="K34" s="34">
        <f t="shared" si="11"/>
        <v>40348.551039257349</v>
      </c>
      <c r="L34" s="34">
        <f t="shared" si="11"/>
        <v>40348.551039257349</v>
      </c>
      <c r="M34" s="34">
        <f t="shared" si="11"/>
        <v>40348.551039257349</v>
      </c>
      <c r="N34" s="34">
        <f t="shared" si="11"/>
        <v>40348.551039257349</v>
      </c>
      <c r="O34" s="34">
        <f t="shared" si="11"/>
        <v>40348.551039257349</v>
      </c>
      <c r="P34" s="34">
        <f t="shared" si="11"/>
        <v>40348.551039257349</v>
      </c>
      <c r="Q34" s="34">
        <f t="shared" si="11"/>
        <v>40348.551039257349</v>
      </c>
      <c r="R34" s="34">
        <f t="shared" si="11"/>
        <v>40348.551039257349</v>
      </c>
      <c r="S34" s="34">
        <f t="shared" si="11"/>
        <v>40348.551039257349</v>
      </c>
      <c r="T34" s="34">
        <f t="shared" si="11"/>
        <v>40348.551039257349</v>
      </c>
      <c r="U34" s="34">
        <f t="shared" si="11"/>
        <v>40348.551039257349</v>
      </c>
      <c r="V34" s="34">
        <f t="shared" si="11"/>
        <v>40348.551039257349</v>
      </c>
      <c r="W34" s="35">
        <f t="shared" si="11"/>
        <v>40348.551039257349</v>
      </c>
    </row>
    <row r="35" spans="1:23" x14ac:dyDescent="0.35">
      <c r="A35" s="102"/>
      <c r="B35" s="60" t="s">
        <v>12</v>
      </c>
      <c r="C35" s="36" t="e">
        <f t="shared" ref="C35:W35" ca="1" si="12">C11</f>
        <v>#NAME?</v>
      </c>
      <c r="D35" s="36" t="e">
        <f t="shared" ca="1" si="12"/>
        <v>#NAME?</v>
      </c>
      <c r="E35" s="36" t="e">
        <f t="shared" ca="1" si="12"/>
        <v>#NAME?</v>
      </c>
      <c r="F35" s="36" t="e">
        <f t="shared" ca="1" si="12"/>
        <v>#NAME?</v>
      </c>
      <c r="G35" s="36" t="e">
        <f t="shared" ca="1" si="12"/>
        <v>#NAME?</v>
      </c>
      <c r="H35" s="36" t="e">
        <f t="shared" ca="1" si="12"/>
        <v>#NAME?</v>
      </c>
      <c r="I35" s="36" t="e">
        <f t="shared" ca="1" si="12"/>
        <v>#NAME?</v>
      </c>
      <c r="J35" s="36" t="e">
        <f t="shared" ca="1" si="12"/>
        <v>#NAME?</v>
      </c>
      <c r="K35" s="36" t="e">
        <f t="shared" ca="1" si="12"/>
        <v>#NAME?</v>
      </c>
      <c r="L35" s="36" t="e">
        <f t="shared" ca="1" si="12"/>
        <v>#NAME?</v>
      </c>
      <c r="M35" s="36" t="e">
        <f t="shared" ca="1" si="12"/>
        <v>#NAME?</v>
      </c>
      <c r="N35" s="36" t="e">
        <f t="shared" ca="1" si="12"/>
        <v>#NAME?</v>
      </c>
      <c r="O35" s="36" t="e">
        <f t="shared" ca="1" si="12"/>
        <v>#NAME?</v>
      </c>
      <c r="P35" s="36" t="e">
        <f t="shared" ca="1" si="12"/>
        <v>#NAME?</v>
      </c>
      <c r="Q35" s="36" t="e">
        <f t="shared" ca="1" si="12"/>
        <v>#NAME?</v>
      </c>
      <c r="R35" s="36" t="e">
        <f t="shared" ca="1" si="12"/>
        <v>#NAME?</v>
      </c>
      <c r="S35" s="36" t="e">
        <f t="shared" ca="1" si="12"/>
        <v>#NAME?</v>
      </c>
      <c r="T35" s="36" t="e">
        <f t="shared" ca="1" si="12"/>
        <v>#NAME?</v>
      </c>
      <c r="U35" s="36" t="e">
        <f t="shared" ca="1" si="12"/>
        <v>#NAME?</v>
      </c>
      <c r="V35" s="36" t="e">
        <f t="shared" ca="1" si="12"/>
        <v>#NAME?</v>
      </c>
      <c r="W35" s="52" t="e">
        <f t="shared" ca="1" si="12"/>
        <v>#NAME?</v>
      </c>
    </row>
    <row r="36" spans="1:23" ht="15" thickBot="1" x14ac:dyDescent="0.4">
      <c r="A36" s="102"/>
      <c r="B36" s="61" t="s">
        <v>11</v>
      </c>
      <c r="C36" s="37">
        <f>$C$31</f>
        <v>16.057886000375273</v>
      </c>
      <c r="D36" s="37">
        <f t="shared" ref="D36:W36" si="13">$C$31</f>
        <v>16.057886000375273</v>
      </c>
      <c r="E36" s="37">
        <f t="shared" si="13"/>
        <v>16.057886000375273</v>
      </c>
      <c r="F36" s="37">
        <f t="shared" si="13"/>
        <v>16.057886000375273</v>
      </c>
      <c r="G36" s="37">
        <f t="shared" si="13"/>
        <v>16.057886000375273</v>
      </c>
      <c r="H36" s="37">
        <f t="shared" si="13"/>
        <v>16.057886000375273</v>
      </c>
      <c r="I36" s="37">
        <f t="shared" si="13"/>
        <v>16.057886000375273</v>
      </c>
      <c r="J36" s="37">
        <f t="shared" si="13"/>
        <v>16.057886000375273</v>
      </c>
      <c r="K36" s="37">
        <f t="shared" si="13"/>
        <v>16.057886000375273</v>
      </c>
      <c r="L36" s="37">
        <f t="shared" si="13"/>
        <v>16.057886000375273</v>
      </c>
      <c r="M36" s="37">
        <f t="shared" si="13"/>
        <v>16.057886000375273</v>
      </c>
      <c r="N36" s="37">
        <f t="shared" si="13"/>
        <v>16.057886000375273</v>
      </c>
      <c r="O36" s="37">
        <f t="shared" si="13"/>
        <v>16.057886000375273</v>
      </c>
      <c r="P36" s="37">
        <f t="shared" si="13"/>
        <v>16.057886000375273</v>
      </c>
      <c r="Q36" s="37">
        <f t="shared" si="13"/>
        <v>16.057886000375273</v>
      </c>
      <c r="R36" s="37">
        <f t="shared" si="13"/>
        <v>16.057886000375273</v>
      </c>
      <c r="S36" s="37">
        <f t="shared" si="13"/>
        <v>16.057886000375273</v>
      </c>
      <c r="T36" s="37">
        <f t="shared" si="13"/>
        <v>16.057886000375273</v>
      </c>
      <c r="U36" s="37">
        <f t="shared" si="13"/>
        <v>16.057886000375273</v>
      </c>
      <c r="V36" s="37">
        <f t="shared" si="13"/>
        <v>16.057886000375273</v>
      </c>
      <c r="W36" s="38">
        <f t="shared" si="13"/>
        <v>16.057886000375273</v>
      </c>
    </row>
    <row r="37" spans="1:23" ht="15" thickBot="1" x14ac:dyDescent="0.4">
      <c r="A37" s="102"/>
    </row>
    <row r="38" spans="1:23" ht="15" thickBot="1" x14ac:dyDescent="0.4">
      <c r="A38" s="102"/>
      <c r="B38" s="50" t="s">
        <v>34</v>
      </c>
      <c r="C38" s="58">
        <v>0</v>
      </c>
      <c r="D38" s="58">
        <f t="shared" ref="D38:W38" si="14">C38+1</f>
        <v>1</v>
      </c>
      <c r="E38" s="58">
        <f t="shared" si="14"/>
        <v>2</v>
      </c>
      <c r="F38" s="58">
        <f t="shared" si="14"/>
        <v>3</v>
      </c>
      <c r="G38" s="58">
        <f t="shared" si="14"/>
        <v>4</v>
      </c>
      <c r="H38" s="58">
        <f t="shared" si="14"/>
        <v>5</v>
      </c>
      <c r="I38" s="58">
        <f t="shared" si="14"/>
        <v>6</v>
      </c>
      <c r="J38" s="58">
        <f t="shared" si="14"/>
        <v>7</v>
      </c>
      <c r="K38" s="58">
        <f t="shared" si="14"/>
        <v>8</v>
      </c>
      <c r="L38" s="58">
        <f t="shared" si="14"/>
        <v>9</v>
      </c>
      <c r="M38" s="58">
        <f t="shared" si="14"/>
        <v>10</v>
      </c>
      <c r="N38" s="58">
        <f t="shared" si="14"/>
        <v>11</v>
      </c>
      <c r="O38" s="58">
        <f t="shared" si="14"/>
        <v>12</v>
      </c>
      <c r="P38" s="58">
        <f t="shared" si="14"/>
        <v>13</v>
      </c>
      <c r="Q38" s="58">
        <f t="shared" si="14"/>
        <v>14</v>
      </c>
      <c r="R38" s="58">
        <f t="shared" si="14"/>
        <v>15</v>
      </c>
      <c r="S38" s="58">
        <f t="shared" si="14"/>
        <v>16</v>
      </c>
      <c r="T38" s="58">
        <f t="shared" si="14"/>
        <v>17</v>
      </c>
      <c r="U38" s="58">
        <f t="shared" si="14"/>
        <v>18</v>
      </c>
      <c r="V38" s="58">
        <f t="shared" si="14"/>
        <v>19</v>
      </c>
      <c r="W38" s="58">
        <f t="shared" si="14"/>
        <v>20</v>
      </c>
    </row>
    <row r="39" spans="1:23" x14ac:dyDescent="0.35">
      <c r="A39" s="102"/>
      <c r="B39" s="59" t="s">
        <v>1</v>
      </c>
      <c r="C39" s="53" t="e">
        <f ca="1">-SUM($C$3:$C$4)</f>
        <v>#NAME?</v>
      </c>
      <c r="D39" s="53"/>
      <c r="E39" s="53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5"/>
    </row>
    <row r="40" spans="1:23" x14ac:dyDescent="0.35">
      <c r="A40" s="102"/>
      <c r="B40" s="60" t="s">
        <v>10</v>
      </c>
      <c r="C40" s="34">
        <f>C34</f>
        <v>40348.551039257349</v>
      </c>
      <c r="D40" s="34">
        <f t="shared" ref="D40:W40" si="15">D34</f>
        <v>40348.551039257349</v>
      </c>
      <c r="E40" s="34">
        <f t="shared" si="15"/>
        <v>40348.551039257349</v>
      </c>
      <c r="F40" s="34">
        <f t="shared" si="15"/>
        <v>40348.551039257349</v>
      </c>
      <c r="G40" s="34">
        <f t="shared" si="15"/>
        <v>40348.551039257349</v>
      </c>
      <c r="H40" s="34">
        <f t="shared" si="15"/>
        <v>40348.551039257349</v>
      </c>
      <c r="I40" s="34">
        <f t="shared" si="15"/>
        <v>40348.551039257349</v>
      </c>
      <c r="J40" s="34">
        <f t="shared" si="15"/>
        <v>40348.551039257349</v>
      </c>
      <c r="K40" s="34">
        <f t="shared" si="15"/>
        <v>40348.551039257349</v>
      </c>
      <c r="L40" s="34">
        <f t="shared" si="15"/>
        <v>40348.551039257349</v>
      </c>
      <c r="M40" s="34">
        <f t="shared" si="15"/>
        <v>40348.551039257349</v>
      </c>
      <c r="N40" s="34">
        <f t="shared" si="15"/>
        <v>40348.551039257349</v>
      </c>
      <c r="O40" s="34">
        <f t="shared" si="15"/>
        <v>40348.551039257349</v>
      </c>
      <c r="P40" s="34">
        <f t="shared" si="15"/>
        <v>40348.551039257349</v>
      </c>
      <c r="Q40" s="34">
        <f t="shared" si="15"/>
        <v>40348.551039257349</v>
      </c>
      <c r="R40" s="34">
        <f t="shared" si="15"/>
        <v>40348.551039257349</v>
      </c>
      <c r="S40" s="34">
        <f t="shared" si="15"/>
        <v>40348.551039257349</v>
      </c>
      <c r="T40" s="34">
        <f t="shared" si="15"/>
        <v>40348.551039257349</v>
      </c>
      <c r="U40" s="34">
        <f t="shared" si="15"/>
        <v>40348.551039257349</v>
      </c>
      <c r="V40" s="34">
        <f t="shared" si="15"/>
        <v>40348.551039257349</v>
      </c>
      <c r="W40" s="35">
        <f t="shared" si="15"/>
        <v>40348.551039257349</v>
      </c>
    </row>
    <row r="41" spans="1:23" x14ac:dyDescent="0.35">
      <c r="A41" s="102"/>
      <c r="B41" s="60" t="s">
        <v>12</v>
      </c>
      <c r="C41" s="36" t="e">
        <f ca="1">C35</f>
        <v>#NAME?</v>
      </c>
      <c r="D41" s="36" t="e">
        <f t="shared" ref="D41:W41" ca="1" si="16">D35</f>
        <v>#NAME?</v>
      </c>
      <c r="E41" s="36" t="e">
        <f t="shared" ca="1" si="16"/>
        <v>#NAME?</v>
      </c>
      <c r="F41" s="36" t="e">
        <f t="shared" ca="1" si="16"/>
        <v>#NAME?</v>
      </c>
      <c r="G41" s="36" t="e">
        <f t="shared" ca="1" si="16"/>
        <v>#NAME?</v>
      </c>
      <c r="H41" s="36" t="e">
        <f t="shared" ca="1" si="16"/>
        <v>#NAME?</v>
      </c>
      <c r="I41" s="36" t="e">
        <f t="shared" ca="1" si="16"/>
        <v>#NAME?</v>
      </c>
      <c r="J41" s="36" t="e">
        <f t="shared" ca="1" si="16"/>
        <v>#NAME?</v>
      </c>
      <c r="K41" s="36" t="e">
        <f t="shared" ca="1" si="16"/>
        <v>#NAME?</v>
      </c>
      <c r="L41" s="36" t="e">
        <f t="shared" ca="1" si="16"/>
        <v>#NAME?</v>
      </c>
      <c r="M41" s="36" t="e">
        <f t="shared" ca="1" si="16"/>
        <v>#NAME?</v>
      </c>
      <c r="N41" s="36" t="e">
        <f t="shared" ca="1" si="16"/>
        <v>#NAME?</v>
      </c>
      <c r="O41" s="36" t="e">
        <f t="shared" ca="1" si="16"/>
        <v>#NAME?</v>
      </c>
      <c r="P41" s="36" t="e">
        <f t="shared" ca="1" si="16"/>
        <v>#NAME?</v>
      </c>
      <c r="Q41" s="36" t="e">
        <f t="shared" ca="1" si="16"/>
        <v>#NAME?</v>
      </c>
      <c r="R41" s="36" t="e">
        <f t="shared" ca="1" si="16"/>
        <v>#NAME?</v>
      </c>
      <c r="S41" s="36" t="e">
        <f t="shared" ca="1" si="16"/>
        <v>#NAME?</v>
      </c>
      <c r="T41" s="36" t="e">
        <f t="shared" ca="1" si="16"/>
        <v>#NAME?</v>
      </c>
      <c r="U41" s="36" t="e">
        <f t="shared" ca="1" si="16"/>
        <v>#NAME?</v>
      </c>
      <c r="V41" s="36" t="e">
        <f t="shared" ca="1" si="16"/>
        <v>#NAME?</v>
      </c>
      <c r="W41" s="52" t="e">
        <f t="shared" ca="1" si="16"/>
        <v>#NAME?</v>
      </c>
    </row>
    <row r="42" spans="1:23" x14ac:dyDescent="0.35">
      <c r="A42" s="102"/>
      <c r="B42" s="60" t="s">
        <v>11</v>
      </c>
      <c r="C42" s="36">
        <f>C36</f>
        <v>16.057886000375273</v>
      </c>
      <c r="D42" s="36">
        <f t="shared" ref="D42:W42" si="17">D36</f>
        <v>16.057886000375273</v>
      </c>
      <c r="E42" s="36">
        <f t="shared" si="17"/>
        <v>16.057886000375273</v>
      </c>
      <c r="F42" s="36">
        <f t="shared" si="17"/>
        <v>16.057886000375273</v>
      </c>
      <c r="G42" s="36">
        <f t="shared" si="17"/>
        <v>16.057886000375273</v>
      </c>
      <c r="H42" s="36">
        <f t="shared" si="17"/>
        <v>16.057886000375273</v>
      </c>
      <c r="I42" s="36">
        <f t="shared" si="17"/>
        <v>16.057886000375273</v>
      </c>
      <c r="J42" s="36">
        <f t="shared" si="17"/>
        <v>16.057886000375273</v>
      </c>
      <c r="K42" s="36">
        <f t="shared" si="17"/>
        <v>16.057886000375273</v>
      </c>
      <c r="L42" s="36">
        <f t="shared" si="17"/>
        <v>16.057886000375273</v>
      </c>
      <c r="M42" s="36">
        <f t="shared" si="17"/>
        <v>16.057886000375273</v>
      </c>
      <c r="N42" s="36">
        <f t="shared" si="17"/>
        <v>16.057886000375273</v>
      </c>
      <c r="O42" s="36">
        <f t="shared" si="17"/>
        <v>16.057886000375273</v>
      </c>
      <c r="P42" s="36">
        <f t="shared" si="17"/>
        <v>16.057886000375273</v>
      </c>
      <c r="Q42" s="36">
        <f t="shared" si="17"/>
        <v>16.057886000375273</v>
      </c>
      <c r="R42" s="36">
        <f t="shared" si="17"/>
        <v>16.057886000375273</v>
      </c>
      <c r="S42" s="36">
        <f t="shared" si="17"/>
        <v>16.057886000375273</v>
      </c>
      <c r="T42" s="36">
        <f t="shared" si="17"/>
        <v>16.057886000375273</v>
      </c>
      <c r="U42" s="36">
        <f t="shared" si="17"/>
        <v>16.057886000375273</v>
      </c>
      <c r="V42" s="36">
        <f t="shared" si="17"/>
        <v>16.057886000375273</v>
      </c>
      <c r="W42" s="52">
        <f t="shared" si="17"/>
        <v>16.057886000375273</v>
      </c>
    </row>
    <row r="43" spans="1:23" x14ac:dyDescent="0.35">
      <c r="A43" s="102"/>
      <c r="B43" s="60" t="s">
        <v>30</v>
      </c>
      <c r="C43" s="39">
        <f t="shared" ref="C43:W43" si="18">C40*C42</f>
        <v>647912.4328687177</v>
      </c>
      <c r="D43" s="39">
        <f t="shared" si="18"/>
        <v>647912.4328687177</v>
      </c>
      <c r="E43" s="39">
        <f t="shared" si="18"/>
        <v>647912.4328687177</v>
      </c>
      <c r="F43" s="39">
        <f t="shared" si="18"/>
        <v>647912.4328687177</v>
      </c>
      <c r="G43" s="39">
        <f t="shared" si="18"/>
        <v>647912.4328687177</v>
      </c>
      <c r="H43" s="39">
        <f t="shared" si="18"/>
        <v>647912.4328687177</v>
      </c>
      <c r="I43" s="39">
        <f t="shared" si="18"/>
        <v>647912.4328687177</v>
      </c>
      <c r="J43" s="39">
        <f t="shared" si="18"/>
        <v>647912.4328687177</v>
      </c>
      <c r="K43" s="39">
        <f t="shared" si="18"/>
        <v>647912.4328687177</v>
      </c>
      <c r="L43" s="39">
        <f t="shared" si="18"/>
        <v>647912.4328687177</v>
      </c>
      <c r="M43" s="39">
        <f t="shared" si="18"/>
        <v>647912.4328687177</v>
      </c>
      <c r="N43" s="39">
        <f t="shared" si="18"/>
        <v>647912.4328687177</v>
      </c>
      <c r="O43" s="39">
        <f t="shared" si="18"/>
        <v>647912.4328687177</v>
      </c>
      <c r="P43" s="39">
        <f t="shared" si="18"/>
        <v>647912.4328687177</v>
      </c>
      <c r="Q43" s="39">
        <f t="shared" si="18"/>
        <v>647912.4328687177</v>
      </c>
      <c r="R43" s="39">
        <f t="shared" si="18"/>
        <v>647912.4328687177</v>
      </c>
      <c r="S43" s="39">
        <f t="shared" si="18"/>
        <v>647912.4328687177</v>
      </c>
      <c r="T43" s="39">
        <f t="shared" si="18"/>
        <v>647912.4328687177</v>
      </c>
      <c r="U43" s="39">
        <f t="shared" si="18"/>
        <v>647912.4328687177</v>
      </c>
      <c r="V43" s="39">
        <f t="shared" si="18"/>
        <v>647912.4328687177</v>
      </c>
      <c r="W43" s="56">
        <f t="shared" si="18"/>
        <v>647912.4328687177</v>
      </c>
    </row>
    <row r="44" spans="1:23" x14ac:dyDescent="0.35">
      <c r="A44" s="102"/>
      <c r="B44" s="60" t="s">
        <v>0</v>
      </c>
      <c r="C44" s="39" t="e">
        <f ca="1">-$C$5-C40*($C$6+C41)</f>
        <v>#NAME?</v>
      </c>
      <c r="D44" s="39" t="e">
        <f t="shared" ref="D44:W44" ca="1" si="19">-$C$5-D40*($C$6+D41)</f>
        <v>#NAME?</v>
      </c>
      <c r="E44" s="39" t="e">
        <f t="shared" ca="1" si="19"/>
        <v>#NAME?</v>
      </c>
      <c r="F44" s="39" t="e">
        <f t="shared" ca="1" si="19"/>
        <v>#NAME?</v>
      </c>
      <c r="G44" s="39" t="e">
        <f t="shared" ca="1" si="19"/>
        <v>#NAME?</v>
      </c>
      <c r="H44" s="39" t="e">
        <f t="shared" ca="1" si="19"/>
        <v>#NAME?</v>
      </c>
      <c r="I44" s="39" t="e">
        <f t="shared" ca="1" si="19"/>
        <v>#NAME?</v>
      </c>
      <c r="J44" s="39" t="e">
        <f t="shared" ca="1" si="19"/>
        <v>#NAME?</v>
      </c>
      <c r="K44" s="39" t="e">
        <f t="shared" ca="1" si="19"/>
        <v>#NAME?</v>
      </c>
      <c r="L44" s="39" t="e">
        <f t="shared" ca="1" si="19"/>
        <v>#NAME?</v>
      </c>
      <c r="M44" s="39" t="e">
        <f t="shared" ca="1" si="19"/>
        <v>#NAME?</v>
      </c>
      <c r="N44" s="39" t="e">
        <f t="shared" ca="1" si="19"/>
        <v>#NAME?</v>
      </c>
      <c r="O44" s="39" t="e">
        <f t="shared" ca="1" si="19"/>
        <v>#NAME?</v>
      </c>
      <c r="P44" s="39" t="e">
        <f t="shared" ca="1" si="19"/>
        <v>#NAME?</v>
      </c>
      <c r="Q44" s="39" t="e">
        <f t="shared" ca="1" si="19"/>
        <v>#NAME?</v>
      </c>
      <c r="R44" s="39" t="e">
        <f t="shared" ca="1" si="19"/>
        <v>#NAME?</v>
      </c>
      <c r="S44" s="39" t="e">
        <f t="shared" ca="1" si="19"/>
        <v>#NAME?</v>
      </c>
      <c r="T44" s="39" t="e">
        <f t="shared" ca="1" si="19"/>
        <v>#NAME?</v>
      </c>
      <c r="U44" s="39" t="e">
        <f t="shared" ca="1" si="19"/>
        <v>#NAME?</v>
      </c>
      <c r="V44" s="39" t="e">
        <f t="shared" ca="1" si="19"/>
        <v>#NAME?</v>
      </c>
      <c r="W44" s="56" t="e">
        <f t="shared" ca="1" si="19"/>
        <v>#NAME?</v>
      </c>
    </row>
    <row r="45" spans="1:23" x14ac:dyDescent="0.35">
      <c r="A45" s="102"/>
      <c r="B45" s="60" t="s">
        <v>24</v>
      </c>
      <c r="C45" s="39" t="e">
        <f t="shared" ref="C45:W45" ca="1" si="20">-(SUM(C43:C44)&gt;0)*SUM(C43:C44)*$C$7</f>
        <v>#NAME?</v>
      </c>
      <c r="D45" s="39" t="e">
        <f t="shared" ca="1" si="20"/>
        <v>#NAME?</v>
      </c>
      <c r="E45" s="39" t="e">
        <f t="shared" ca="1" si="20"/>
        <v>#NAME?</v>
      </c>
      <c r="F45" s="39" t="e">
        <f t="shared" ca="1" si="20"/>
        <v>#NAME?</v>
      </c>
      <c r="G45" s="39" t="e">
        <f t="shared" ca="1" si="20"/>
        <v>#NAME?</v>
      </c>
      <c r="H45" s="39" t="e">
        <f t="shared" ca="1" si="20"/>
        <v>#NAME?</v>
      </c>
      <c r="I45" s="39" t="e">
        <f t="shared" ca="1" si="20"/>
        <v>#NAME?</v>
      </c>
      <c r="J45" s="39" t="e">
        <f t="shared" ca="1" si="20"/>
        <v>#NAME?</v>
      </c>
      <c r="K45" s="39" t="e">
        <f t="shared" ca="1" si="20"/>
        <v>#NAME?</v>
      </c>
      <c r="L45" s="39" t="e">
        <f t="shared" ca="1" si="20"/>
        <v>#NAME?</v>
      </c>
      <c r="M45" s="39" t="e">
        <f t="shared" ca="1" si="20"/>
        <v>#NAME?</v>
      </c>
      <c r="N45" s="39" t="e">
        <f t="shared" ca="1" si="20"/>
        <v>#NAME?</v>
      </c>
      <c r="O45" s="39" t="e">
        <f t="shared" ca="1" si="20"/>
        <v>#NAME?</v>
      </c>
      <c r="P45" s="39" t="e">
        <f t="shared" ca="1" si="20"/>
        <v>#NAME?</v>
      </c>
      <c r="Q45" s="39" t="e">
        <f t="shared" ca="1" si="20"/>
        <v>#NAME?</v>
      </c>
      <c r="R45" s="39" t="e">
        <f t="shared" ca="1" si="20"/>
        <v>#NAME?</v>
      </c>
      <c r="S45" s="39" t="e">
        <f t="shared" ca="1" si="20"/>
        <v>#NAME?</v>
      </c>
      <c r="T45" s="39" t="e">
        <f t="shared" ca="1" si="20"/>
        <v>#NAME?</v>
      </c>
      <c r="U45" s="39" t="e">
        <f t="shared" ca="1" si="20"/>
        <v>#NAME?</v>
      </c>
      <c r="V45" s="39" t="e">
        <f t="shared" ca="1" si="20"/>
        <v>#NAME?</v>
      </c>
      <c r="W45" s="56" t="e">
        <f t="shared" ca="1" si="20"/>
        <v>#NAME?</v>
      </c>
    </row>
    <row r="46" spans="1:23" ht="15" thickBot="1" x14ac:dyDescent="0.4">
      <c r="A46" s="102"/>
      <c r="B46" s="61" t="s">
        <v>31</v>
      </c>
      <c r="C46" s="40" t="e">
        <f ca="1">_xll.RiskOutput(,B46,1)+C39+SUM(C43:C45)</f>
        <v>#NAME?</v>
      </c>
      <c r="D46" s="40" t="e">
        <f ca="1">_xll.RiskOutput(,B46,2)+D39+SUM(D43:D45)</f>
        <v>#NAME?</v>
      </c>
      <c r="E46" s="40" t="e">
        <f ca="1">_xll.RiskOutput(,B46,3)+E39+SUM(E43:E45)</f>
        <v>#NAME?</v>
      </c>
      <c r="F46" s="40" t="e">
        <f ca="1">_xll.RiskOutput(,B46,4)+F39+SUM(F43:F45)</f>
        <v>#NAME?</v>
      </c>
      <c r="G46" s="40" t="e">
        <f ca="1">_xll.RiskOutput(,B46,5)+G39+SUM(G43:G45)</f>
        <v>#NAME?</v>
      </c>
      <c r="H46" s="40" t="e">
        <f ca="1">_xll.RiskOutput(,B46,6)+H39+SUM(H43:H45)</f>
        <v>#NAME?</v>
      </c>
      <c r="I46" s="40" t="e">
        <f ca="1">_xll.RiskOutput(,B46,7)+I39+SUM(I43:I45)</f>
        <v>#NAME?</v>
      </c>
      <c r="J46" s="40" t="e">
        <f ca="1">_xll.RiskOutput(,B46,8)+J39+SUM(J43:J45)</f>
        <v>#NAME?</v>
      </c>
      <c r="K46" s="40" t="e">
        <f ca="1">_xll.RiskOutput(,B46,9)+K39+SUM(K43:K45)</f>
        <v>#NAME?</v>
      </c>
      <c r="L46" s="40" t="e">
        <f ca="1">_xll.RiskOutput(,B46,10)+L39+SUM(L43:L45)</f>
        <v>#NAME?</v>
      </c>
      <c r="M46" s="40" t="e">
        <f ca="1">_xll.RiskOutput(,B46,11)+M39+SUM(M43:M45)</f>
        <v>#NAME?</v>
      </c>
      <c r="N46" s="40" t="e">
        <f ca="1">_xll.RiskOutput(,B46,12)+N39+SUM(N43:N45)</f>
        <v>#NAME?</v>
      </c>
      <c r="O46" s="40" t="e">
        <f ca="1">_xll.RiskOutput(,B46,13)+O39+SUM(O43:O45)</f>
        <v>#NAME?</v>
      </c>
      <c r="P46" s="40" t="e">
        <f ca="1">_xll.RiskOutput(,B46,14)+P39+SUM(P43:P45)</f>
        <v>#NAME?</v>
      </c>
      <c r="Q46" s="40" t="e">
        <f ca="1">_xll.RiskOutput(,B46,15)+Q39+SUM(Q43:Q45)</f>
        <v>#NAME?</v>
      </c>
      <c r="R46" s="40" t="e">
        <f ca="1">_xll.RiskOutput(,B46,16)+R39+SUM(R43:R45)</f>
        <v>#NAME?</v>
      </c>
      <c r="S46" s="40" t="e">
        <f ca="1">_xll.RiskOutput(,B46,17)+S39+SUM(S43:S45)</f>
        <v>#NAME?</v>
      </c>
      <c r="T46" s="40" t="e">
        <f ca="1">_xll.RiskOutput(,B46,18)+T39+SUM(T43:T45)</f>
        <v>#NAME?</v>
      </c>
      <c r="U46" s="40" t="e">
        <f ca="1">_xll.RiskOutput(,B46,19)+U39+SUM(U43:U45)</f>
        <v>#NAME?</v>
      </c>
      <c r="V46" s="40" t="e">
        <f ca="1">_xll.RiskOutput(,B46,20)+V39+SUM(V43:V45)</f>
        <v>#NAME?</v>
      </c>
      <c r="W46" s="57" t="e">
        <f ca="1">_xll.RiskOutput(,B46,21)+W39+SUM(W43:W45)</f>
        <v>#NAME?</v>
      </c>
    </row>
    <row r="47" spans="1:23" ht="15" thickBot="1" x14ac:dyDescent="0.4">
      <c r="A47" s="103"/>
      <c r="B47" s="62" t="s">
        <v>32</v>
      </c>
      <c r="C47" s="64" t="e">
        <f ca="1">_xll.RiskOutput(B47)+C46+NPV($C$2,D46:W46)</f>
        <v>#NAME?</v>
      </c>
      <c r="J47" s="2"/>
      <c r="K47" s="2"/>
      <c r="L47" s="2"/>
      <c r="M47" s="2"/>
    </row>
  </sheetData>
  <mergeCells count="5">
    <mergeCell ref="B1:C1"/>
    <mergeCell ref="A1:A23"/>
    <mergeCell ref="A27:A47"/>
    <mergeCell ref="B27:C27"/>
    <mergeCell ref="D30:I30"/>
  </mergeCells>
  <conditionalFormatting sqref="C3:C6 C22:W22 C23 C46:W46 C47">
    <cfRule type="expression" dxfId="2" priority="1" stopIfTrue="1">
      <formula>RiskColorCellsSimOutput</formula>
    </cfRule>
    <cfRule type="expression" dxfId="1" priority="2" stopIfTrue="1">
      <formula>RiskColorCellsSimInput</formula>
    </cfRule>
    <cfRule type="expression" dxfId="0" priority="3" stopIfTrue="1">
      <formula>RiskColorCellsSimStatistics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ProjectData</vt:lpstr>
      <vt:lpstr>MarketData</vt:lpstr>
      <vt:lpstr>goalSeekInfo</vt:lpstr>
      <vt:lpstr>Time Series Fit Summary</vt:lpstr>
      <vt:lpstr>RiskSerializationData8</vt:lpstr>
      <vt:lpstr>Cash Flow Risk</vt:lpstr>
      <vt:lpstr>RiskSerializationData8!BrowseRecords</vt:lpstr>
      <vt:lpstr>RiskGoalSeekChangingCell</vt:lpstr>
      <vt:lpstr>RiskSerializationData8!SerializationHeader</vt:lpstr>
    </vt:vector>
  </TitlesOfParts>
  <Company>Palisade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Hartke</dc:creator>
  <cp:lastModifiedBy>Susan Hatch</cp:lastModifiedBy>
  <dcterms:created xsi:type="dcterms:W3CDTF">2013-06-10T16:28:24Z</dcterms:created>
  <dcterms:modified xsi:type="dcterms:W3CDTF">2021-04-14T11:30:09Z</dcterms:modified>
</cp:coreProperties>
</file>